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120" windowHeight="5850" activeTab="3"/>
  </bookViews>
  <sheets>
    <sheet name="Retirement" sheetId="1" r:id="rId1"/>
    <sheet name="future expe est" sheetId="2" r:id="rId2"/>
    <sheet name="Insurance" sheetId="3" r:id="rId3"/>
    <sheet name="life cycle  EXAMPLE" sheetId="4" r:id="rId4"/>
    <sheet name="gold A" sheetId="5" r:id="rId5"/>
    <sheet name="Gold B" sheetId="6" r:id="rId6"/>
    <sheet name="sensex" sheetId="7" r:id="rId7"/>
    <sheet name="mutual fnd " sheetId="8" r:id="rId8"/>
    <sheet name="Real estate" sheetId="9" r:id="rId9"/>
    <sheet name="inflation " sheetId="10" r:id="rId10"/>
    <sheet name="amort" sheetId="11" r:id="rId11"/>
    <sheet name="cr card repyamnet" sheetId="12" r:id="rId12"/>
    <sheet name="Sheet7" sheetId="13" r:id="rId13"/>
    <sheet name="Sheet8" sheetId="14" r:id="rId14"/>
    <sheet name="Sheet9" sheetId="15" r:id="rId15"/>
    <sheet name="Sheet10" sheetId="16" r:id="rId16"/>
  </sheets>
  <definedNames/>
  <calcPr fullCalcOnLoad="1"/>
</workbook>
</file>

<file path=xl/comments4.xml><?xml version="1.0" encoding="utf-8"?>
<comments xmlns="http://schemas.openxmlformats.org/spreadsheetml/2006/main">
  <authors>
    <author>Yash</author>
  </authors>
  <commentList>
    <comment ref="G12" authorId="0">
      <text>
        <r>
          <rPr>
            <sz val="9"/>
            <rFont val="Tahoma"/>
            <family val="2"/>
          </rPr>
          <t xml:space="preserve">Expenses added Rs. 1.00 lac per annuam 
</t>
        </r>
      </text>
    </comment>
  </commentList>
</comments>
</file>

<file path=xl/sharedStrings.xml><?xml version="1.0" encoding="utf-8"?>
<sst xmlns="http://schemas.openxmlformats.org/spreadsheetml/2006/main" count="428" uniqueCount="306">
  <si>
    <t>Annual expenses now</t>
  </si>
  <si>
    <t>Inflation p.a.</t>
  </si>
  <si>
    <t>Period</t>
  </si>
  <si>
    <t>Corpus required</t>
  </si>
  <si>
    <t>Annualised Amount</t>
  </si>
  <si>
    <t>ROI</t>
  </si>
  <si>
    <t>Inflation</t>
  </si>
  <si>
    <t>Real ROI</t>
  </si>
  <si>
    <t>Amount = PV of annuity</t>
  </si>
  <si>
    <t>Needs in the beginning of year 1</t>
  </si>
  <si>
    <t>Monthly savings required now</t>
  </si>
  <si>
    <t>Corpus</t>
  </si>
  <si>
    <t>Time (Months)</t>
  </si>
  <si>
    <t xml:space="preserve">No inflation as it is real return </t>
  </si>
  <si>
    <t>Monthly investment</t>
  </si>
  <si>
    <t>One year advance expenses plus PV of annuity for 19 years, hence use</t>
  </si>
  <si>
    <t>Given is the FV of an annuity, hence use</t>
  </si>
  <si>
    <t>`</t>
  </si>
  <si>
    <t>Net addition to corpus after adjusting inflation on expenses, i.e. Real Rate = ((Nominal Interest Rate - Inflation)/(1+Inflation))</t>
  </si>
  <si>
    <t>Annual Income</t>
  </si>
  <si>
    <t>Self Expenses</t>
  </si>
  <si>
    <t xml:space="preserve">  Income Tax</t>
  </si>
  <si>
    <t xml:space="preserve">  Self Maintenance</t>
  </si>
  <si>
    <t>Balance Available for Family</t>
  </si>
  <si>
    <t>Insurance required</t>
  </si>
  <si>
    <t>Annualised Amount for family</t>
  </si>
  <si>
    <t>Risk Free ROI</t>
  </si>
  <si>
    <t>Capital Value of Annualised income</t>
  </si>
  <si>
    <t>No. of Years</t>
  </si>
  <si>
    <t>Risk free rate of return on RBI Bonds</t>
  </si>
  <si>
    <t>Year</t>
  </si>
  <si>
    <t>Amount</t>
  </si>
  <si>
    <t>Increase</t>
  </si>
  <si>
    <t>Expenses</t>
  </si>
  <si>
    <t>Yearly</t>
  </si>
  <si>
    <t>Monthly</t>
  </si>
  <si>
    <t>Financial Planning</t>
  </si>
  <si>
    <t>Contingency Funds</t>
  </si>
  <si>
    <t>Insurance Requirement</t>
  </si>
  <si>
    <t>Providing for other Goals</t>
  </si>
  <si>
    <t>Needs INR 4.0 L after 2 years</t>
  </si>
  <si>
    <t>Period = 24 months</t>
  </si>
  <si>
    <t>Amount to be invested</t>
  </si>
  <si>
    <t>Car</t>
  </si>
  <si>
    <t>Investments - Monthly</t>
  </si>
  <si>
    <t>Balance</t>
  </si>
  <si>
    <t xml:space="preserve"> - Buying a House</t>
  </si>
  <si>
    <t>for 12 months first</t>
  </si>
  <si>
    <t>for 12 months thereafter</t>
  </si>
  <si>
    <t>for 48 months thereafter</t>
  </si>
  <si>
    <t>Value</t>
  </si>
  <si>
    <t>Total</t>
  </si>
  <si>
    <t>EMI</t>
  </si>
  <si>
    <t xml:space="preserve"> - EMI for a house</t>
  </si>
  <si>
    <t>Rate of Interest on Loan</t>
  </si>
  <si>
    <t>Amount of Loan</t>
  </si>
  <si>
    <t>Period - Months</t>
  </si>
  <si>
    <t>Invest in Equity MF due to long term</t>
  </si>
  <si>
    <t xml:space="preserve"> - Children Marriage</t>
  </si>
  <si>
    <t>Marriage</t>
  </si>
  <si>
    <t>Tax implications on yearly income ignored</t>
  </si>
  <si>
    <t>OUR EXAMPLE</t>
  </si>
  <si>
    <t>Period = 36 months</t>
  </si>
  <si>
    <t>Age</t>
  </si>
  <si>
    <t>Frn Trip</t>
  </si>
  <si>
    <t xml:space="preserve"> - Retirement   Plan</t>
  </si>
  <si>
    <t>Bal years</t>
  </si>
  <si>
    <t>Buying  first car</t>
  </si>
  <si>
    <t xml:space="preserve"> - Buying a Car/s</t>
  </si>
  <si>
    <t xml:space="preserve"> - Buying a second Car &amp; subsequent cars</t>
  </si>
  <si>
    <t xml:space="preserve">  Higher Education</t>
  </si>
  <si>
    <t>Annual income</t>
  </si>
  <si>
    <t>Foreign Travels</t>
  </si>
  <si>
    <t>Mahindra</t>
  </si>
  <si>
    <t>SON</t>
  </si>
  <si>
    <t>DAUGHTER</t>
  </si>
  <si>
    <t>FIRST HOME</t>
  </si>
  <si>
    <t>SECOND HOME  CHANGE OVER</t>
  </si>
  <si>
    <t>ADDITIONAL INVESTMENT</t>
  </si>
  <si>
    <t>TOTAL FINANCIAL PLANNING FOR MR &amp; MRS A</t>
  </si>
  <si>
    <t>EXPENSES</t>
  </si>
  <si>
    <t>SURPLUS</t>
  </si>
  <si>
    <t>CAR</t>
  </si>
  <si>
    <t>HOUSE</t>
  </si>
  <si>
    <t xml:space="preserve">HOME </t>
  </si>
  <si>
    <t>EDUCATION</t>
  </si>
  <si>
    <t>CHILD</t>
  </si>
  <si>
    <t>MARRIAGE</t>
  </si>
  <si>
    <t>RETIREMENT</t>
  </si>
  <si>
    <t>FUN</t>
  </si>
  <si>
    <t>contigen</t>
  </si>
  <si>
    <t xml:space="preserve">                       </t>
  </si>
  <si>
    <t xml:space="preserve">     INCOME</t>
  </si>
  <si>
    <t xml:space="preserve">Invest in Equity fund with ROI </t>
  </si>
  <si>
    <t xml:space="preserve">Invest in Debt fund with ROI </t>
  </si>
  <si>
    <t>Months</t>
  </si>
  <si>
    <t>years</t>
  </si>
  <si>
    <t>Invest in Equity fund with ROI=</t>
  </si>
  <si>
    <t>Cumu Total</t>
  </si>
  <si>
    <t>Club membership</t>
  </si>
  <si>
    <t>Holiday club</t>
  </si>
  <si>
    <t>From age 31 onwards till 60 i.e. 30 years or 360 months</t>
  </si>
  <si>
    <t xml:space="preserve"> -25th aniversery party</t>
  </si>
  <si>
    <t>After 8 years</t>
  </si>
  <si>
    <t>Loan</t>
  </si>
  <si>
    <t>Int</t>
  </si>
  <si>
    <t>emi</t>
  </si>
  <si>
    <t>Princ</t>
  </si>
  <si>
    <t>NORMAL  EMI</t>
  </si>
  <si>
    <t xml:space="preserve">  Self Medical Insurance &amp; insurance</t>
  </si>
  <si>
    <t>Membership</t>
  </si>
  <si>
    <t>Gymkhana</t>
  </si>
  <si>
    <t>Goal No</t>
  </si>
  <si>
    <t>I</t>
  </si>
  <si>
    <t>II</t>
  </si>
  <si>
    <t>III</t>
  </si>
  <si>
    <t>1ST  Foreign</t>
  </si>
  <si>
    <t>IV</t>
  </si>
  <si>
    <t>V</t>
  </si>
  <si>
    <t xml:space="preserve">  ForeignTrips </t>
  </si>
  <si>
    <t xml:space="preserve">couple </t>
  </si>
  <si>
    <t xml:space="preserve">all four </t>
  </si>
  <si>
    <t>all four</t>
  </si>
  <si>
    <t>COST INFLATION INDEX</t>
  </si>
  <si>
    <t>Financial Year</t>
  </si>
  <si>
    <r>
      <t>Cost Inflation</t>
    </r>
    <r>
      <rPr>
        <sz val="11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Index</t>
    </r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</si>
  <si>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</si>
  <si>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</si>
  <si>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</si>
  <si>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</si>
  <si>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</si>
  <si>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</si>
  <si>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</si>
  <si>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</si>
  <si>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</si>
  <si>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</si>
  <si>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</si>
  <si>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</si>
  <si>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</si>
  <si>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</si>
  <si>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</si>
  <si>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</si>
  <si>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</si>
  <si>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</si>
  <si>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</si>
  <si>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</si>
  <si>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</si>
  <si>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</si>
  <si>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</si>
  <si>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</si>
  <si>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</si>
  <si>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</si>
  <si>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</si>
  <si>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</si>
  <si>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</si>
  <si>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</si>
  <si>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</si>
  <si>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CAGR</t>
  </si>
  <si>
    <t xml:space="preserve">Villa  at  Lonavala  on retirement </t>
  </si>
  <si>
    <t>Invest from 8 yrs from now for 14 yrs.</t>
  </si>
  <si>
    <t xml:space="preserve">Every  3 years of savings </t>
  </si>
  <si>
    <t>1st Car</t>
  </si>
  <si>
    <t>2 &amp; 3rd car</t>
  </si>
  <si>
    <t>Jwelery</t>
  </si>
  <si>
    <t>25th Anniv</t>
  </si>
  <si>
    <t>today cost</t>
  </si>
  <si>
    <t>Years</t>
  </si>
  <si>
    <t>Cost after period</t>
  </si>
  <si>
    <t>for year</t>
  </si>
  <si>
    <t>First House</t>
  </si>
  <si>
    <t>Second House</t>
  </si>
  <si>
    <t>Son Education</t>
  </si>
  <si>
    <t>Daughter   Edu</t>
  </si>
  <si>
    <t>Villa</t>
  </si>
  <si>
    <t>Va</t>
  </si>
  <si>
    <t>Vb</t>
  </si>
  <si>
    <t>Vc</t>
  </si>
  <si>
    <t>Vd</t>
  </si>
  <si>
    <t>Retirement planning for Santosh</t>
  </si>
  <si>
    <t>Aniv. Party</t>
  </si>
  <si>
    <t>sale</t>
  </si>
  <si>
    <t>buy</t>
  </si>
  <si>
    <t>Insurance planning for Santosh</t>
  </si>
  <si>
    <t>Income</t>
  </si>
  <si>
    <t>Cost basis</t>
  </si>
  <si>
    <t>Open</t>
  </si>
  <si>
    <t>High</t>
  </si>
  <si>
    <t>Low</t>
  </si>
  <si>
    <t>Close</t>
  </si>
  <si>
    <t>Price/Earnings</t>
  </si>
  <si>
    <t>Price/Bookvalue</t>
  </si>
  <si>
    <t>Dividend Yield</t>
  </si>
  <si>
    <t xml:space="preserve">Last 10 years </t>
  </si>
  <si>
    <t>Last  5 years</t>
  </si>
  <si>
    <t xml:space="preserve">Per Ounce </t>
  </si>
  <si>
    <t>Gold price - Key Currencies</t>
  </si>
  <si>
    <t>US dollar</t>
  </si>
  <si>
    <t>Euro</t>
  </si>
  <si>
    <t>Japanese yen</t>
  </si>
  <si>
    <t>Indian rupee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</si>
  <si>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</si>
  <si>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</si>
  <si>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</si>
  <si>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</si>
  <si>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</si>
  <si>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</si>
  <si>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</si>
  <si>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</si>
  <si>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</si>
  <si>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</si>
  <si>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</si>
  <si>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</si>
  <si>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Last  5 Years</t>
  </si>
  <si>
    <t>ECONOMIC TIMES  13.02.2012</t>
  </si>
  <si>
    <t>Last  12 Years</t>
  </si>
  <si>
    <t>Last  3 Years</t>
  </si>
  <si>
    <t>RETIREMENT FUND</t>
  </si>
  <si>
    <t xml:space="preserve">CONTINGENT FUND </t>
  </si>
  <si>
    <t>Savings balance is INR 1,50,000 which is adequate for 4 months of household expenses</t>
  </si>
  <si>
    <t>Term insurance of INR 70 L is adequate on HLV Basis, if he needs INR 4.5L for family for 23 yrs</t>
  </si>
  <si>
    <t>from 1991 to 2013   22 Years</t>
  </si>
  <si>
    <t>Residence</t>
  </si>
  <si>
    <t>Factory</t>
  </si>
  <si>
    <t>Commercial</t>
  </si>
  <si>
    <t>commercial</t>
  </si>
  <si>
    <t>Residential</t>
  </si>
  <si>
    <t>Nariman Point</t>
  </si>
  <si>
    <t>Annualised Expenses at the age of 60 yrs</t>
  </si>
  <si>
    <t>Note :</t>
  </si>
  <si>
    <t>First</t>
  </si>
  <si>
    <t>2 &amp; 3</t>
  </si>
  <si>
    <t>car</t>
  </si>
  <si>
    <t>Buying first House</t>
  </si>
  <si>
    <t>Loan required</t>
  </si>
  <si>
    <t>Less Own constribution</t>
  </si>
  <si>
    <t>gymkhna</t>
  </si>
  <si>
    <t>4 th car</t>
  </si>
  <si>
    <t>5 th car</t>
  </si>
  <si>
    <t>America tour</t>
  </si>
  <si>
    <t>South east asia tour</t>
  </si>
  <si>
    <t>Europe tour</t>
  </si>
  <si>
    <t>couple tours or</t>
  </si>
  <si>
    <t xml:space="preserve">any other event </t>
  </si>
  <si>
    <t>party and tour</t>
  </si>
  <si>
    <t>children</t>
  </si>
  <si>
    <t>SE asia</t>
  </si>
  <si>
    <t xml:space="preserve">Gymkhana </t>
  </si>
  <si>
    <t>Europe</t>
  </si>
  <si>
    <t>USA</t>
  </si>
  <si>
    <t>eurpoe</t>
  </si>
  <si>
    <t>usa</t>
  </si>
  <si>
    <t>S E Asia</t>
  </si>
  <si>
    <t>Needs 580 lacs  after  29        years</t>
  </si>
  <si>
    <t>Son</t>
  </si>
  <si>
    <t>Events</t>
  </si>
  <si>
    <t xml:space="preserve">  With no dependent children, no office  the expenses should take care</t>
  </si>
  <si>
    <t>30th May 2013</t>
  </si>
  <si>
    <t>CAGR till 2012 ending</t>
  </si>
  <si>
    <t>CAGR  as on 30.05.2013</t>
  </si>
  <si>
    <t xml:space="preserve">Nixon Shock </t>
  </si>
  <si>
    <t>INR</t>
  </si>
  <si>
    <t>3 years</t>
  </si>
  <si>
    <t>Rolling</t>
  </si>
  <si>
    <t>5 years</t>
  </si>
  <si>
    <t>Purchase</t>
  </si>
  <si>
    <t>Interest</t>
  </si>
  <si>
    <t>Monthly installment</t>
  </si>
  <si>
    <t>Amount to be invested per month</t>
  </si>
  <si>
    <t>Period - Years   Months</t>
  </si>
  <si>
    <t>Invest from 4 yrs from now for 11 yrs.</t>
  </si>
  <si>
    <t xml:space="preserve">Per Month </t>
  </si>
  <si>
    <t>YOY change</t>
  </si>
  <si>
    <t>Last updated 30 -05 -2013</t>
  </si>
  <si>
    <t>2012-2013</t>
  </si>
  <si>
    <t>2013-2014</t>
  </si>
  <si>
    <t xml:space="preserve">counter check of figure using future value formula of Excel </t>
  </si>
  <si>
    <t xml:space="preserve">  It is said that after retirement  expenses go down by 25%</t>
  </si>
  <si>
    <t xml:space="preserve">ALL CACULATION ARE MONTHLY  IN INR </t>
  </si>
  <si>
    <t>Investment</t>
  </si>
  <si>
    <t>Cumulative</t>
  </si>
  <si>
    <t>Balance with inter</t>
  </si>
  <si>
    <t xml:space="preserve">Cap  +  int </t>
  </si>
  <si>
    <t>Opening</t>
  </si>
  <si>
    <t>Capital</t>
  </si>
  <si>
    <t xml:space="preserve">                                             Required     Amount </t>
  </si>
  <si>
    <t xml:space="preserve">                                    r  x   _____________________</t>
  </si>
  <si>
    <t xml:space="preserve">                                               ( 1+  r)^n  - 1 </t>
  </si>
  <si>
    <t>'r - Rate of interest    ///  'n -  Period</t>
  </si>
  <si>
    <t>At year end</t>
  </si>
  <si>
    <t>PMT ( Direct function in Excel )</t>
  </si>
  <si>
    <t>Calculates the payment for a loan based on constant payments and a constant interest rate.</t>
  </si>
  <si>
    <r>
      <t>PMT</t>
    </r>
    <r>
      <rPr>
        <sz val="11"/>
        <color indexed="8"/>
        <rFont val="Calibri"/>
        <family val="2"/>
      </rPr>
      <t>(</t>
    </r>
    <r>
      <rPr>
        <b/>
        <sz val="11"/>
        <color indexed="8"/>
        <rFont val="Calibri"/>
        <family val="2"/>
      </rPr>
      <t>rate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>nper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>pv</t>
    </r>
    <r>
      <rPr>
        <sz val="11"/>
        <color indexed="8"/>
        <rFont val="Calibri"/>
        <family val="2"/>
      </rPr>
      <t>,)</t>
    </r>
  </si>
  <si>
    <r>
      <t>Rate</t>
    </r>
    <r>
      <rPr>
        <sz val="11"/>
        <color indexed="8"/>
        <rFont val="Calibri"/>
        <family val="2"/>
      </rPr>
      <t xml:space="preserve"> is the interest rate for the loan.</t>
    </r>
  </si>
  <si>
    <r>
      <t>Nper</t>
    </r>
    <r>
      <rPr>
        <sz val="11"/>
        <color indexed="8"/>
        <rFont val="Calibri"/>
        <family val="2"/>
      </rPr>
      <t xml:space="preserve"> is the total number of payments for the loan.</t>
    </r>
  </si>
  <si>
    <t>Balance Loan amount</t>
  </si>
  <si>
    <t>No of months</t>
  </si>
  <si>
    <t xml:space="preserve">FINAL WISH / GOAL </t>
  </si>
  <si>
    <t>'=+(G46*G49/12)/((1+G49/12)^G48-1)</t>
  </si>
  <si>
    <t>Returns the future value of an investment based on periodic, constant payments and a constant interest rate.</t>
  </si>
  <si>
    <r>
      <t>FV</t>
    </r>
    <r>
      <rPr>
        <sz val="11"/>
        <color indexed="8"/>
        <rFont val="Calibri"/>
        <family val="2"/>
      </rPr>
      <t>(</t>
    </r>
    <r>
      <rPr>
        <b/>
        <sz val="11"/>
        <color indexed="8"/>
        <rFont val="Calibri"/>
        <family val="2"/>
      </rPr>
      <t>rate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>nper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>pmt</t>
    </r>
    <r>
      <rPr>
        <sz val="11"/>
        <color indexed="8"/>
        <rFont val="Calibri"/>
        <family val="2"/>
      </rPr>
      <t>,)</t>
    </r>
  </si>
  <si>
    <r>
      <t>Rate</t>
    </r>
    <r>
      <rPr>
        <sz val="11"/>
        <color indexed="8"/>
        <rFont val="Calibri"/>
        <family val="2"/>
      </rPr>
      <t xml:space="preserve"> is the interest rate per period.</t>
    </r>
  </si>
  <si>
    <r>
      <t>Nper</t>
    </r>
    <r>
      <rPr>
        <sz val="11"/>
        <color indexed="8"/>
        <rFont val="Calibri"/>
        <family val="2"/>
      </rPr>
      <t xml:space="preserve"> is the total number of payment periods in an annuity.</t>
    </r>
  </si>
  <si>
    <r>
      <t>Pmt</t>
    </r>
    <r>
      <rPr>
        <sz val="11"/>
        <color indexed="8"/>
        <rFont val="Calibri"/>
        <family val="2"/>
      </rPr>
      <t xml:space="preserve"> is the payment made each period; it cannot change over the life of the annuity. </t>
    </r>
  </si>
  <si>
    <t>Future  Value  ( Direct function in Excel )</t>
  </si>
  <si>
    <t>One year advance expenses plus PV of annuity for 23 years, hence use</t>
  </si>
  <si>
    <t>Family support required till daughter's age of  24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</si>
</sst>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0.0"/>
    <numFmt numFmtId="185" formatCode="0.00000"/>
    <numFmt numFmtId="186" formatCode="0.0000"/>
    <numFmt numFmtId="187" formatCode="0.000"/>
    <numFmt numFmtId="188" formatCode="&quot;Rs.&quot;\ #,##0.0;[Red]&quot;Rs.&quot;\ \-#,##0.0"/>
    <numFmt numFmtId="189" formatCode="#,##0.0"/>
    <numFmt numFmtId="190" formatCode="_(* #,##0.0_);_(* \(#,##0.0\);_(* &quot;-&quot;??_);_(@_)"/>
    <numFmt numFmtId="191" formatCode="_(* #,##0_);_(* \(#,##0\);_(* &quot;-&quot;??_);_(@_)"/>
    <numFmt numFmtId="192" formatCode="[$-409]dddd\,\ mmmm\ dd\,\ yyyy"/>
    <numFmt numFmtId="193" formatCode="mm/dd/yy;@"/>
    <numFmt numFmtId="194" formatCode="[$-409]d\-mmm\-yy;@"/>
    <numFmt numFmtId="195" formatCode="&quot;£&quot;#,##0.0;[Red]\-&quot;£&quot;#,##0.0"/>
    <numFmt numFmtId="196" formatCode="0.0000%"/>
    <numFmt numFmtId="197" formatCode="0.00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1"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Rupee Foradian"/>
      <family val="2"/>
    </font>
    <font>
      <u val="single"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Rupee Foradian"/>
      <family val="2"/>
    </font>
    <font>
      <sz val="12"/>
      <color indexed="9"/>
      <name val="Calibri"/>
      <family val="2"/>
    </font>
    <font>
      <sz val="12"/>
      <color indexed="9"/>
      <name val="Arial"/>
      <family val="2"/>
    </font>
    <font>
      <sz val="10"/>
      <color indexed="30"/>
      <name val="Calibri"/>
      <family val="2"/>
    </font>
    <font>
      <sz val="10"/>
      <color indexed="36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1"/>
      <name val="Rupee Foradian"/>
      <family val="2"/>
    </font>
    <font>
      <u val="single"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64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0"/>
      <name val="Arial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Rupee Foradian"/>
      <family val="2"/>
    </font>
    <font>
      <sz val="12"/>
      <color theme="0"/>
      <name val="Calibri"/>
      <family val="2"/>
    </font>
    <font>
      <sz val="12"/>
      <color theme="0"/>
      <name val="Arial"/>
      <family val="2"/>
    </font>
    <font>
      <sz val="10"/>
      <color rgb="FF0070C0"/>
      <name val="Calibri"/>
      <family val="2"/>
    </font>
    <font>
      <sz val="10"/>
      <color rgb="FF7030A0"/>
      <name val="Calibri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2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8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1" fillId="0" borderId="0" xfId="0" applyFont="1" applyAlignment="1">
      <alignment/>
    </xf>
    <xf numFmtId="175" fontId="0" fillId="0" borderId="0" xfId="0" applyNumberFormat="1" applyAlignment="1">
      <alignment/>
    </xf>
    <xf numFmtId="0" fontId="59" fillId="0" borderId="0" xfId="0" applyFont="1" applyAlignment="1">
      <alignment/>
    </xf>
    <xf numFmtId="182" fontId="0" fillId="0" borderId="0" xfId="42" applyNumberFormat="1" applyFont="1" applyAlignment="1">
      <alignment/>
    </xf>
    <xf numFmtId="0" fontId="62" fillId="0" borderId="0" xfId="0" applyFont="1" applyAlignment="1">
      <alignment horizontal="center"/>
    </xf>
    <xf numFmtId="3" fontId="0" fillId="0" borderId="0" xfId="0" applyNumberFormat="1" applyAlignment="1">
      <alignment/>
    </xf>
    <xf numFmtId="182" fontId="0" fillId="0" borderId="0" xfId="42" applyNumberFormat="1" applyFont="1" applyAlignment="1">
      <alignment/>
    </xf>
    <xf numFmtId="18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9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2" fontId="0" fillId="0" borderId="12" xfId="0" applyNumberFormat="1" applyBorder="1" applyAlignment="1">
      <alignment/>
    </xf>
    <xf numFmtId="0" fontId="64" fillId="0" borderId="0" xfId="0" applyNumberFormat="1" applyFont="1" applyAlignment="1">
      <alignment horizontal="center"/>
    </xf>
    <xf numFmtId="182" fontId="0" fillId="0" borderId="13" xfId="0" applyNumberFormat="1" applyBorder="1" applyAlignment="1">
      <alignment/>
    </xf>
    <xf numFmtId="0" fontId="64" fillId="0" borderId="0" xfId="0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13" xfId="42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 horizontal="center"/>
    </xf>
    <xf numFmtId="182" fontId="0" fillId="0" borderId="17" xfId="42" applyNumberFormat="1" applyFont="1" applyBorder="1" applyAlignment="1">
      <alignment/>
    </xf>
    <xf numFmtId="182" fontId="0" fillId="0" borderId="0" xfId="42" applyNumberFormat="1" applyFont="1" applyBorder="1" applyAlignment="1">
      <alignment/>
    </xf>
    <xf numFmtId="182" fontId="0" fillId="0" borderId="23" xfId="42" applyNumberFormat="1" applyFont="1" applyBorder="1" applyAlignment="1">
      <alignment/>
    </xf>
    <xf numFmtId="9" fontId="0" fillId="0" borderId="0" xfId="0" applyNumberFormat="1" applyBorder="1" applyAlignment="1">
      <alignment/>
    </xf>
    <xf numFmtId="182" fontId="0" fillId="0" borderId="19" xfId="42" applyNumberFormat="1" applyFont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82" fontId="0" fillId="0" borderId="23" xfId="0" applyNumberFormat="1" applyBorder="1" applyAlignment="1">
      <alignment/>
    </xf>
    <xf numFmtId="0" fontId="0" fillId="0" borderId="17" xfId="0" applyNumberFormat="1" applyBorder="1" applyAlignment="1">
      <alignment/>
    </xf>
    <xf numFmtId="182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6" xfId="0" applyNumberFormat="1" applyFill="1" applyBorder="1" applyAlignment="1">
      <alignment/>
    </xf>
    <xf numFmtId="0" fontId="0" fillId="33" borderId="17" xfId="0" applyNumberFormat="1" applyFill="1" applyBorder="1" applyAlignment="1">
      <alignment horizontal="center"/>
    </xf>
    <xf numFmtId="0" fontId="0" fillId="33" borderId="23" xfId="0" applyNumberFormat="1" applyFill="1" applyBorder="1" applyAlignment="1">
      <alignment horizontal="center"/>
    </xf>
    <xf numFmtId="0" fontId="0" fillId="33" borderId="18" xfId="0" applyNumberFormat="1" applyFill="1" applyBorder="1" applyAlignment="1">
      <alignment horizontal="center"/>
    </xf>
    <xf numFmtId="0" fontId="0" fillId="33" borderId="24" xfId="0" applyNumberFormat="1" applyFill="1" applyBorder="1" applyAlignment="1">
      <alignment horizontal="center"/>
    </xf>
    <xf numFmtId="182" fontId="0" fillId="0" borderId="18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34" borderId="19" xfId="0" applyNumberFormat="1" applyFill="1" applyBorder="1" applyAlignment="1">
      <alignment/>
    </xf>
    <xf numFmtId="0" fontId="0" fillId="0" borderId="21" xfId="0" applyNumberFormat="1" applyBorder="1" applyAlignment="1">
      <alignment horizontal="center"/>
    </xf>
    <xf numFmtId="182" fontId="0" fillId="0" borderId="15" xfId="42" applyNumberFormat="1" applyFont="1" applyBorder="1" applyAlignment="1">
      <alignment/>
    </xf>
    <xf numFmtId="0" fontId="63" fillId="0" borderId="17" xfId="0" applyNumberFormat="1" applyFont="1" applyBorder="1" applyAlignment="1">
      <alignment/>
    </xf>
    <xf numFmtId="0" fontId="63" fillId="0" borderId="0" xfId="0" applyNumberFormat="1" applyFont="1" applyBorder="1" applyAlignment="1">
      <alignment/>
    </xf>
    <xf numFmtId="9" fontId="0" fillId="0" borderId="0" xfId="59" applyFont="1" applyBorder="1" applyAlignment="1">
      <alignment/>
    </xf>
    <xf numFmtId="0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82" fontId="0" fillId="0" borderId="0" xfId="42" applyNumberFormat="1" applyFont="1" applyBorder="1" applyAlignment="1">
      <alignment/>
    </xf>
    <xf numFmtId="179" fontId="0" fillId="0" borderId="23" xfId="42" applyFont="1" applyBorder="1" applyAlignment="1">
      <alignment/>
    </xf>
    <xf numFmtId="179" fontId="0" fillId="0" borderId="14" xfId="42" applyFont="1" applyBorder="1" applyAlignment="1">
      <alignment/>
    </xf>
    <xf numFmtId="179" fontId="0" fillId="0" borderId="15" xfId="42" applyFont="1" applyBorder="1" applyAlignment="1">
      <alignment/>
    </xf>
    <xf numFmtId="179" fontId="0" fillId="0" borderId="16" xfId="42" applyFont="1" applyBorder="1" applyAlignment="1">
      <alignment/>
    </xf>
    <xf numFmtId="179" fontId="0" fillId="0" borderId="18" xfId="42" applyFont="1" applyBorder="1" applyAlignment="1">
      <alignment/>
    </xf>
    <xf numFmtId="179" fontId="0" fillId="0" borderId="19" xfId="42" applyFont="1" applyBorder="1" applyAlignment="1">
      <alignment/>
    </xf>
    <xf numFmtId="179" fontId="0" fillId="0" borderId="24" xfId="42" applyFont="1" applyBorder="1" applyAlignment="1">
      <alignment/>
    </xf>
    <xf numFmtId="179" fontId="0" fillId="0" borderId="17" xfId="42" applyFont="1" applyBorder="1" applyAlignment="1">
      <alignment/>
    </xf>
    <xf numFmtId="179" fontId="0" fillId="0" borderId="0" xfId="42" applyFont="1" applyBorder="1" applyAlignment="1">
      <alignment/>
    </xf>
    <xf numFmtId="0" fontId="0" fillId="0" borderId="15" xfId="0" applyNumberFormat="1" applyBorder="1" applyAlignment="1">
      <alignment horizontal="left"/>
    </xf>
    <xf numFmtId="9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9" fontId="0" fillId="0" borderId="0" xfId="59" applyFont="1" applyAlignment="1">
      <alignment/>
    </xf>
    <xf numFmtId="0" fontId="65" fillId="0" borderId="25" xfId="0" applyFont="1" applyBorder="1" applyAlignment="1">
      <alignment horizontal="center" wrapText="1"/>
    </xf>
    <xf numFmtId="0" fontId="66" fillId="0" borderId="25" xfId="0" applyFont="1" applyBorder="1" applyAlignment="1">
      <alignment horizontal="center" wrapText="1"/>
    </xf>
    <xf numFmtId="0" fontId="67" fillId="0" borderId="25" xfId="0" applyFont="1" applyBorder="1" applyAlignment="1">
      <alignment horizontal="center" wrapText="1"/>
    </xf>
    <xf numFmtId="0" fontId="68" fillId="0" borderId="0" xfId="0" applyFont="1" applyAlignment="1">
      <alignment/>
    </xf>
    <xf numFmtId="180" fontId="68" fillId="0" borderId="0" xfId="59" applyNumberFormat="1" applyFont="1" applyAlignment="1">
      <alignment/>
    </xf>
    <xf numFmtId="165" fontId="0" fillId="0" borderId="0" xfId="0" applyNumberFormat="1" applyBorder="1" applyAlignment="1">
      <alignment/>
    </xf>
    <xf numFmtId="182" fontId="0" fillId="0" borderId="11" xfId="0" applyNumberFormat="1" applyFill="1" applyBorder="1" applyAlignment="1">
      <alignment/>
    </xf>
    <xf numFmtId="182" fontId="0" fillId="0" borderId="0" xfId="42" applyNumberFormat="1" applyFont="1" applyBorder="1" applyAlignment="1">
      <alignment/>
    </xf>
    <xf numFmtId="0" fontId="63" fillId="0" borderId="20" xfId="0" applyNumberFormat="1" applyFont="1" applyBorder="1" applyAlignment="1">
      <alignment/>
    </xf>
    <xf numFmtId="0" fontId="63" fillId="0" borderId="21" xfId="0" applyNumberFormat="1" applyFont="1" applyBorder="1" applyAlignment="1">
      <alignment/>
    </xf>
    <xf numFmtId="0" fontId="0" fillId="0" borderId="21" xfId="0" applyNumberFormat="1" applyBorder="1" applyAlignment="1" quotePrefix="1">
      <alignment horizontal="right"/>
    </xf>
    <xf numFmtId="0" fontId="0" fillId="0" borderId="22" xfId="0" applyNumberFormat="1" applyBorder="1" applyAlignment="1" quotePrefix="1">
      <alignment horizontal="right"/>
    </xf>
    <xf numFmtId="182" fontId="0" fillId="0" borderId="15" xfId="42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ill="1" applyBorder="1" applyAlignment="1" quotePrefix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182" fontId="0" fillId="0" borderId="28" xfId="42" applyNumberFormat="1" applyFont="1" applyBorder="1" applyAlignment="1">
      <alignment/>
    </xf>
    <xf numFmtId="18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4" fillId="0" borderId="0" xfId="0" applyFont="1" applyAlignment="1">
      <alignment horizontal="left"/>
    </xf>
    <xf numFmtId="0" fontId="0" fillId="0" borderId="21" xfId="0" applyBorder="1" applyAlignment="1">
      <alignment/>
    </xf>
    <xf numFmtId="0" fontId="0" fillId="0" borderId="31" xfId="0" applyBorder="1" applyAlignment="1">
      <alignment horizontal="center"/>
    </xf>
    <xf numFmtId="182" fontId="44" fillId="0" borderId="0" xfId="42" applyNumberFormat="1" applyFont="1" applyAlignment="1">
      <alignment/>
    </xf>
    <xf numFmtId="180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82" fontId="44" fillId="0" borderId="21" xfId="42" applyNumberFormat="1" applyFont="1" applyBorder="1" applyAlignment="1">
      <alignment/>
    </xf>
    <xf numFmtId="9" fontId="44" fillId="0" borderId="0" xfId="0" applyNumberFormat="1" applyFont="1" applyAlignment="1">
      <alignment/>
    </xf>
    <xf numFmtId="10" fontId="44" fillId="0" borderId="0" xfId="0" applyNumberFormat="1" applyFont="1" applyAlignment="1">
      <alignment/>
    </xf>
    <xf numFmtId="175" fontId="44" fillId="0" borderId="0" xfId="0" applyNumberFormat="1" applyFont="1" applyAlignment="1">
      <alignment/>
    </xf>
    <xf numFmtId="10" fontId="68" fillId="0" borderId="0" xfId="59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82" fontId="69" fillId="0" borderId="0" xfId="42" applyNumberFormat="1" applyFont="1" applyAlignment="1">
      <alignment horizontal="center"/>
    </xf>
    <xf numFmtId="0" fontId="6" fillId="0" borderId="0" xfId="0" applyFont="1" applyAlignment="1">
      <alignment/>
    </xf>
    <xf numFmtId="182" fontId="7" fillId="0" borderId="0" xfId="42" applyNumberFormat="1" applyFont="1" applyAlignment="1">
      <alignment/>
    </xf>
    <xf numFmtId="0" fontId="0" fillId="0" borderId="0" xfId="0" applyAlignment="1">
      <alignment wrapText="1"/>
    </xf>
    <xf numFmtId="0" fontId="70" fillId="35" borderId="0" xfId="0" applyFont="1" applyFill="1" applyAlignment="1">
      <alignment wrapText="1"/>
    </xf>
    <xf numFmtId="14" fontId="0" fillId="0" borderId="0" xfId="0" applyNumberFormat="1" applyAlignment="1" quotePrefix="1">
      <alignment/>
    </xf>
    <xf numFmtId="182" fontId="5" fillId="0" borderId="0" xfId="42" applyNumberFormat="1" applyFont="1" applyFill="1" applyAlignment="1" quotePrefix="1">
      <alignment horizontal="right"/>
    </xf>
    <xf numFmtId="182" fontId="5" fillId="0" borderId="0" xfId="42" applyNumberFormat="1" applyFont="1" applyFill="1" applyAlignment="1">
      <alignment horizontal="right"/>
    </xf>
    <xf numFmtId="189" fontId="5" fillId="0" borderId="0" xfId="0" applyNumberFormat="1" applyFont="1" applyFill="1" applyAlignment="1">
      <alignment horizontal="right"/>
    </xf>
    <xf numFmtId="182" fontId="7" fillId="0" borderId="0" xfId="42" applyNumberFormat="1" applyFont="1" applyFill="1" applyAlignment="1">
      <alignment horizontal="right"/>
    </xf>
    <xf numFmtId="14" fontId="0" fillId="0" borderId="0" xfId="0" applyNumberFormat="1" applyAlignment="1">
      <alignment/>
    </xf>
    <xf numFmtId="182" fontId="0" fillId="0" borderId="0" xfId="42" applyNumberFormat="1" applyFont="1" applyAlignment="1">
      <alignment horizontal="right"/>
    </xf>
    <xf numFmtId="189" fontId="0" fillId="0" borderId="0" xfId="0" applyNumberFormat="1" applyAlignment="1">
      <alignment horizontal="right"/>
    </xf>
    <xf numFmtId="182" fontId="71" fillId="0" borderId="0" xfId="42" applyNumberFormat="1" applyFont="1" applyAlignment="1">
      <alignment horizontal="right"/>
    </xf>
    <xf numFmtId="182" fontId="69" fillId="0" borderId="0" xfId="42" applyNumberFormat="1" applyFont="1" applyAlignment="1">
      <alignment/>
    </xf>
    <xf numFmtId="0" fontId="69" fillId="0" borderId="0" xfId="0" applyFont="1" applyAlignment="1">
      <alignment/>
    </xf>
    <xf numFmtId="179" fontId="69" fillId="0" borderId="0" xfId="42" applyFont="1" applyAlignment="1">
      <alignment/>
    </xf>
    <xf numFmtId="0" fontId="0" fillId="0" borderId="0" xfId="0" applyAlignment="1">
      <alignment horizontal="left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2" fillId="36" borderId="0" xfId="0" applyFont="1" applyFill="1" applyAlignment="1">
      <alignment horizontal="center"/>
    </xf>
    <xf numFmtId="182" fontId="0" fillId="36" borderId="0" xfId="42" applyNumberFormat="1" applyFont="1" applyFill="1" applyAlignment="1">
      <alignment/>
    </xf>
    <xf numFmtId="180" fontId="0" fillId="36" borderId="0" xfId="0" applyNumberFormat="1" applyFill="1" applyAlignment="1">
      <alignment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0" fontId="0" fillId="36" borderId="0" xfId="0" applyNumberFormat="1" applyFill="1" applyAlignment="1">
      <alignment/>
    </xf>
    <xf numFmtId="175" fontId="0" fillId="36" borderId="0" xfId="0" applyNumberFormat="1" applyFill="1" applyAlignment="1">
      <alignment/>
    </xf>
    <xf numFmtId="0" fontId="74" fillId="0" borderId="0" xfId="0" applyFont="1" applyAlignment="1">
      <alignment horizontal="center"/>
    </xf>
    <xf numFmtId="180" fontId="69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10" fontId="69" fillId="0" borderId="0" xfId="0" applyNumberFormat="1" applyFont="1" applyAlignment="1">
      <alignment/>
    </xf>
    <xf numFmtId="0" fontId="68" fillId="0" borderId="0" xfId="0" applyFont="1" applyAlignment="1">
      <alignment horizontal="left"/>
    </xf>
    <xf numFmtId="180" fontId="75" fillId="0" borderId="0" xfId="0" applyNumberFormat="1" applyFont="1" applyAlignment="1">
      <alignment/>
    </xf>
    <xf numFmtId="182" fontId="69" fillId="0" borderId="21" xfId="42" applyNumberFormat="1" applyFont="1" applyBorder="1" applyAlignment="1">
      <alignment/>
    </xf>
    <xf numFmtId="9" fontId="69" fillId="0" borderId="0" xfId="0" applyNumberFormat="1" applyFont="1" applyAlignment="1">
      <alignment/>
    </xf>
    <xf numFmtId="0" fontId="0" fillId="0" borderId="22" xfId="0" applyNumberFormat="1" applyBorder="1" applyAlignment="1">
      <alignment horizontal="center"/>
    </xf>
    <xf numFmtId="10" fontId="0" fillId="0" borderId="23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4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32" xfId="0" applyNumberFormat="1" applyBorder="1" applyAlignment="1">
      <alignment/>
    </xf>
    <xf numFmtId="182" fontId="0" fillId="0" borderId="10" xfId="42" applyNumberFormat="1" applyFont="1" applyBorder="1" applyAlignment="1">
      <alignment horizontal="center"/>
    </xf>
    <xf numFmtId="0" fontId="0" fillId="0" borderId="33" xfId="0" applyBorder="1" applyAlignment="1" quotePrefix="1">
      <alignment horizontal="center"/>
    </xf>
    <xf numFmtId="0" fontId="0" fillId="0" borderId="34" xfId="0" applyBorder="1" applyAlignment="1">
      <alignment/>
    </xf>
    <xf numFmtId="182" fontId="0" fillId="0" borderId="34" xfId="42" applyNumberFormat="1" applyFont="1" applyBorder="1" applyAlignment="1">
      <alignment/>
    </xf>
    <xf numFmtId="180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 quotePrefix="1">
      <alignment horizontal="center"/>
    </xf>
    <xf numFmtId="0" fontId="0" fillId="0" borderId="37" xfId="0" applyBorder="1" applyAlignment="1">
      <alignment/>
    </xf>
    <xf numFmtId="0" fontId="0" fillId="0" borderId="0" xfId="0" applyBorder="1" applyAlignment="1" quotePrefix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NumberFormat="1" applyBorder="1" applyAlignment="1">
      <alignment horizontal="center"/>
    </xf>
    <xf numFmtId="182" fontId="0" fillId="0" borderId="13" xfId="42" applyNumberFormat="1" applyFon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22" xfId="0" applyNumberFormat="1" applyBorder="1" applyAlignment="1">
      <alignment horizontal="right"/>
    </xf>
    <xf numFmtId="10" fontId="0" fillId="0" borderId="0" xfId="59" applyNumberFormat="1" applyFont="1" applyBorder="1" applyAlignment="1">
      <alignment/>
    </xf>
    <xf numFmtId="182" fontId="76" fillId="35" borderId="0" xfId="42" applyNumberFormat="1" applyFont="1" applyFill="1" applyAlignment="1">
      <alignment horizontal="right" wrapText="1"/>
    </xf>
    <xf numFmtId="0" fontId="70" fillId="35" borderId="0" xfId="0" applyFont="1" applyFill="1" applyAlignment="1">
      <alignment horizontal="right" wrapText="1"/>
    </xf>
    <xf numFmtId="179" fontId="0" fillId="0" borderId="0" xfId="42" applyFont="1" applyAlignment="1">
      <alignment/>
    </xf>
    <xf numFmtId="182" fontId="0" fillId="0" borderId="0" xfId="42" applyNumberFormat="1" applyFont="1" applyAlignment="1">
      <alignment/>
    </xf>
    <xf numFmtId="194" fontId="0" fillId="0" borderId="0" xfId="42" applyNumberFormat="1" applyFont="1" applyAlignment="1">
      <alignment/>
    </xf>
    <xf numFmtId="9" fontId="69" fillId="0" borderId="0" xfId="59" applyFont="1" applyAlignment="1">
      <alignment/>
    </xf>
    <xf numFmtId="9" fontId="0" fillId="0" borderId="0" xfId="59" applyFont="1" applyAlignment="1">
      <alignment/>
    </xf>
    <xf numFmtId="182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82" fontId="0" fillId="0" borderId="0" xfId="42" applyNumberFormat="1" applyFont="1" applyAlignment="1">
      <alignment/>
    </xf>
    <xf numFmtId="0" fontId="77" fillId="0" borderId="21" xfId="0" applyNumberFormat="1" applyFont="1" applyBorder="1" applyAlignment="1">
      <alignment/>
    </xf>
    <xf numFmtId="0" fontId="77" fillId="0" borderId="22" xfId="0" applyNumberFormat="1" applyFont="1" applyBorder="1" applyAlignment="1">
      <alignment/>
    </xf>
    <xf numFmtId="0" fontId="77" fillId="0" borderId="14" xfId="0" applyNumberFormat="1" applyFont="1" applyBorder="1" applyAlignment="1">
      <alignment horizontal="center"/>
    </xf>
    <xf numFmtId="0" fontId="77" fillId="0" borderId="15" xfId="0" applyNumberFormat="1" applyFont="1" applyBorder="1" applyAlignment="1">
      <alignment horizontal="center"/>
    </xf>
    <xf numFmtId="0" fontId="77" fillId="0" borderId="16" xfId="0" applyNumberFormat="1" applyFont="1" applyBorder="1" applyAlignment="1">
      <alignment horizontal="center"/>
    </xf>
    <xf numFmtId="0" fontId="77" fillId="0" borderId="18" xfId="0" applyNumberFormat="1" applyFont="1" applyBorder="1" applyAlignment="1">
      <alignment horizontal="center"/>
    </xf>
    <xf numFmtId="0" fontId="77" fillId="0" borderId="19" xfId="0" applyNumberFormat="1" applyFont="1" applyBorder="1" applyAlignment="1">
      <alignment horizontal="center"/>
    </xf>
    <xf numFmtId="0" fontId="77" fillId="0" borderId="24" xfId="0" applyNumberFormat="1" applyFont="1" applyBorder="1" applyAlignment="1">
      <alignment horizontal="center"/>
    </xf>
    <xf numFmtId="182" fontId="77" fillId="0" borderId="14" xfId="42" applyNumberFormat="1" applyFont="1" applyBorder="1" applyAlignment="1">
      <alignment/>
    </xf>
    <xf numFmtId="0" fontId="77" fillId="0" borderId="15" xfId="0" applyNumberFormat="1" applyFont="1" applyBorder="1" applyAlignment="1">
      <alignment/>
    </xf>
    <xf numFmtId="182" fontId="77" fillId="0" borderId="16" xfId="42" applyNumberFormat="1" applyFont="1" applyBorder="1" applyAlignment="1">
      <alignment/>
    </xf>
    <xf numFmtId="182" fontId="77" fillId="0" borderId="17" xfId="42" applyNumberFormat="1" applyFont="1" applyBorder="1" applyAlignment="1">
      <alignment/>
    </xf>
    <xf numFmtId="9" fontId="77" fillId="0" borderId="0" xfId="0" applyNumberFormat="1" applyFont="1" applyBorder="1" applyAlignment="1">
      <alignment/>
    </xf>
    <xf numFmtId="182" fontId="77" fillId="0" borderId="23" xfId="42" applyNumberFormat="1" applyFont="1" applyBorder="1" applyAlignment="1">
      <alignment/>
    </xf>
    <xf numFmtId="182" fontId="77" fillId="0" borderId="18" xfId="42" applyNumberFormat="1" applyFont="1" applyBorder="1" applyAlignment="1">
      <alignment/>
    </xf>
    <xf numFmtId="9" fontId="77" fillId="0" borderId="19" xfId="0" applyNumberFormat="1" applyFont="1" applyBorder="1" applyAlignment="1">
      <alignment/>
    </xf>
    <xf numFmtId="182" fontId="77" fillId="0" borderId="24" xfId="42" applyNumberFormat="1" applyFont="1" applyBorder="1" applyAlignment="1">
      <alignment/>
    </xf>
    <xf numFmtId="182" fontId="59" fillId="0" borderId="0" xfId="42" applyNumberFormat="1" applyFont="1" applyBorder="1" applyAlignment="1">
      <alignment/>
    </xf>
    <xf numFmtId="182" fontId="0" fillId="0" borderId="0" xfId="42" applyNumberFormat="1" applyFont="1" applyBorder="1" applyAlignment="1">
      <alignment/>
    </xf>
    <xf numFmtId="182" fontId="0" fillId="0" borderId="19" xfId="42" applyNumberFormat="1" applyFont="1" applyBorder="1" applyAlignment="1">
      <alignment/>
    </xf>
    <xf numFmtId="182" fontId="0" fillId="0" borderId="21" xfId="42" applyNumberFormat="1" applyFont="1" applyBorder="1" applyAlignment="1">
      <alignment/>
    </xf>
    <xf numFmtId="182" fontId="78" fillId="0" borderId="10" xfId="42" applyNumberFormat="1" applyFont="1" applyBorder="1" applyAlignment="1">
      <alignment/>
    </xf>
    <xf numFmtId="182" fontId="78" fillId="0" borderId="11" xfId="42" applyNumberFormat="1" applyFont="1" applyBorder="1" applyAlignment="1">
      <alignment/>
    </xf>
    <xf numFmtId="182" fontId="78" fillId="0" borderId="17" xfId="42" applyNumberFormat="1" applyFont="1" applyBorder="1" applyAlignment="1">
      <alignment/>
    </xf>
    <xf numFmtId="182" fontId="78" fillId="0" borderId="13" xfId="42" applyNumberFormat="1" applyFont="1" applyBorder="1" applyAlignment="1">
      <alignment/>
    </xf>
    <xf numFmtId="0" fontId="78" fillId="0" borderId="14" xfId="0" applyNumberFormat="1" applyFont="1" applyBorder="1" applyAlignment="1">
      <alignment horizontal="center"/>
    </xf>
    <xf numFmtId="182" fontId="78" fillId="0" borderId="14" xfId="42" applyNumberFormat="1" applyFont="1" applyBorder="1" applyAlignment="1">
      <alignment/>
    </xf>
    <xf numFmtId="182" fontId="78" fillId="0" borderId="18" xfId="42" applyNumberFormat="1" applyFont="1" applyBorder="1" applyAlignment="1">
      <alignment/>
    </xf>
    <xf numFmtId="0" fontId="69" fillId="0" borderId="0" xfId="0" applyFont="1" applyAlignment="1">
      <alignment horizontal="center"/>
    </xf>
    <xf numFmtId="0" fontId="7" fillId="0" borderId="0" xfId="0" applyFont="1" applyAlignment="1">
      <alignment/>
    </xf>
    <xf numFmtId="0" fontId="76" fillId="35" borderId="0" xfId="0" applyFont="1" applyFill="1" applyAlignment="1">
      <alignment wrapText="1"/>
    </xf>
    <xf numFmtId="189" fontId="7" fillId="0" borderId="0" xfId="0" applyNumberFormat="1" applyFont="1" applyFill="1" applyAlignment="1">
      <alignment horizontal="right"/>
    </xf>
    <xf numFmtId="9" fontId="7" fillId="0" borderId="0" xfId="59" applyFont="1" applyFill="1" applyAlignment="1">
      <alignment horizontal="right"/>
    </xf>
    <xf numFmtId="0" fontId="69" fillId="34" borderId="0" xfId="0" applyFont="1" applyFill="1" applyAlignment="1">
      <alignment/>
    </xf>
    <xf numFmtId="0" fontId="69" fillId="0" borderId="0" xfId="0" applyFont="1" applyAlignment="1">
      <alignment horizontal="right"/>
    </xf>
    <xf numFmtId="14" fontId="69" fillId="0" borderId="0" xfId="0" applyNumberFormat="1" applyFont="1" applyAlignment="1">
      <alignment/>
    </xf>
    <xf numFmtId="191" fontId="69" fillId="0" borderId="0" xfId="0" applyNumberFormat="1" applyFont="1" applyAlignment="1">
      <alignment/>
    </xf>
    <xf numFmtId="194" fontId="69" fillId="0" borderId="0" xfId="0" applyNumberFormat="1" applyFont="1" applyAlignment="1">
      <alignment/>
    </xf>
    <xf numFmtId="0" fontId="69" fillId="36" borderId="0" xfId="0" applyFont="1" applyFill="1" applyAlignment="1">
      <alignment/>
    </xf>
    <xf numFmtId="181" fontId="69" fillId="0" borderId="0" xfId="42" applyNumberFormat="1" applyFont="1" applyAlignment="1">
      <alignment/>
    </xf>
    <xf numFmtId="182" fontId="69" fillId="0" borderId="38" xfId="42" applyNumberFormat="1" applyFont="1" applyBorder="1" applyAlignment="1">
      <alignment/>
    </xf>
    <xf numFmtId="0" fontId="78" fillId="0" borderId="21" xfId="0" applyNumberFormat="1" applyFont="1" applyBorder="1" applyAlignment="1">
      <alignment/>
    </xf>
    <xf numFmtId="0" fontId="78" fillId="0" borderId="22" xfId="0" applyNumberFormat="1" applyFont="1" applyBorder="1" applyAlignment="1">
      <alignment/>
    </xf>
    <xf numFmtId="0" fontId="78" fillId="0" borderId="15" xfId="0" applyNumberFormat="1" applyFont="1" applyBorder="1" applyAlignment="1">
      <alignment horizontal="center"/>
    </xf>
    <xf numFmtId="0" fontId="78" fillId="0" borderId="16" xfId="0" applyNumberFormat="1" applyFont="1" applyBorder="1" applyAlignment="1">
      <alignment horizontal="center"/>
    </xf>
    <xf numFmtId="0" fontId="78" fillId="0" borderId="18" xfId="0" applyNumberFormat="1" applyFont="1" applyBorder="1" applyAlignment="1">
      <alignment horizontal="center"/>
    </xf>
    <xf numFmtId="0" fontId="78" fillId="0" borderId="19" xfId="0" applyNumberFormat="1" applyFont="1" applyBorder="1" applyAlignment="1">
      <alignment horizontal="center"/>
    </xf>
    <xf numFmtId="0" fontId="78" fillId="0" borderId="24" xfId="0" applyNumberFormat="1" applyFont="1" applyBorder="1" applyAlignment="1">
      <alignment horizontal="center"/>
    </xf>
    <xf numFmtId="182" fontId="78" fillId="0" borderId="0" xfId="42" applyNumberFormat="1" applyFont="1" applyBorder="1" applyAlignment="1">
      <alignment/>
    </xf>
    <xf numFmtId="0" fontId="78" fillId="0" borderId="0" xfId="0" applyNumberFormat="1" applyFont="1" applyBorder="1" applyAlignment="1">
      <alignment/>
    </xf>
    <xf numFmtId="182" fontId="78" fillId="0" borderId="23" xfId="42" applyNumberFormat="1" applyFont="1" applyBorder="1" applyAlignment="1">
      <alignment/>
    </xf>
    <xf numFmtId="9" fontId="78" fillId="0" borderId="0" xfId="0" applyNumberFormat="1" applyFont="1" applyBorder="1" applyAlignment="1">
      <alignment/>
    </xf>
    <xf numFmtId="182" fontId="78" fillId="0" borderId="19" xfId="42" applyNumberFormat="1" applyFont="1" applyBorder="1" applyAlignment="1">
      <alignment/>
    </xf>
    <xf numFmtId="9" fontId="78" fillId="0" borderId="19" xfId="0" applyNumberFormat="1" applyFont="1" applyBorder="1" applyAlignment="1">
      <alignment/>
    </xf>
    <xf numFmtId="182" fontId="78" fillId="0" borderId="24" xfId="42" applyNumberFormat="1" applyFont="1" applyBorder="1" applyAlignment="1">
      <alignment/>
    </xf>
    <xf numFmtId="0" fontId="78" fillId="0" borderId="20" xfId="0" applyNumberFormat="1" applyFont="1" applyBorder="1" applyAlignment="1">
      <alignment horizontal="right"/>
    </xf>
    <xf numFmtId="182" fontId="78" fillId="37" borderId="16" xfId="42" applyNumberFormat="1" applyFont="1" applyFill="1" applyBorder="1" applyAlignment="1">
      <alignment/>
    </xf>
    <xf numFmtId="182" fontId="78" fillId="37" borderId="23" xfId="42" applyNumberFormat="1" applyFont="1" applyFill="1" applyBorder="1" applyAlignment="1">
      <alignment/>
    </xf>
    <xf numFmtId="182" fontId="78" fillId="37" borderId="24" xfId="42" applyNumberFormat="1" applyFont="1" applyFill="1" applyBorder="1" applyAlignment="1">
      <alignment/>
    </xf>
    <xf numFmtId="0" fontId="43" fillId="38" borderId="16" xfId="0" applyNumberFormat="1" applyFont="1" applyFill="1" applyBorder="1" applyAlignment="1">
      <alignment horizontal="center"/>
    </xf>
    <xf numFmtId="0" fontId="43" fillId="38" borderId="24" xfId="0" applyNumberFormat="1" applyFont="1" applyFill="1" applyBorder="1" applyAlignment="1">
      <alignment horizontal="center"/>
    </xf>
    <xf numFmtId="182" fontId="43" fillId="38" borderId="23" xfId="42" applyNumberFormat="1" applyFont="1" applyFill="1" applyBorder="1" applyAlignment="1">
      <alignment/>
    </xf>
    <xf numFmtId="182" fontId="43" fillId="38" borderId="24" xfId="42" applyNumberFormat="1" applyFont="1" applyFill="1" applyBorder="1" applyAlignment="1">
      <alignment/>
    </xf>
    <xf numFmtId="0" fontId="0" fillId="38" borderId="15" xfId="0" applyNumberFormat="1" applyFill="1" applyBorder="1" applyAlignment="1">
      <alignment horizontal="center"/>
    </xf>
    <xf numFmtId="0" fontId="0" fillId="38" borderId="19" xfId="0" applyNumberFormat="1" applyFill="1" applyBorder="1" applyAlignment="1">
      <alignment horizontal="center"/>
    </xf>
    <xf numFmtId="182" fontId="0" fillId="38" borderId="0" xfId="0" applyNumberFormat="1" applyFill="1" applyBorder="1" applyAlignment="1">
      <alignment/>
    </xf>
    <xf numFmtId="182" fontId="0" fillId="38" borderId="19" xfId="0" applyNumberFormat="1" applyFill="1" applyBorder="1" applyAlignment="1">
      <alignment/>
    </xf>
    <xf numFmtId="0" fontId="0" fillId="38" borderId="16" xfId="0" applyNumberFormat="1" applyFill="1" applyBorder="1" applyAlignment="1">
      <alignment horizontal="center"/>
    </xf>
    <xf numFmtId="0" fontId="0" fillId="38" borderId="24" xfId="0" applyNumberFormat="1" applyFill="1" applyBorder="1" applyAlignment="1">
      <alignment horizontal="center"/>
    </xf>
    <xf numFmtId="182" fontId="0" fillId="38" borderId="23" xfId="0" applyNumberFormat="1" applyFill="1" applyBorder="1" applyAlignment="1">
      <alignment/>
    </xf>
    <xf numFmtId="182" fontId="0" fillId="38" borderId="24" xfId="0" applyNumberFormat="1" applyFill="1" applyBorder="1" applyAlignment="1">
      <alignment/>
    </xf>
    <xf numFmtId="0" fontId="0" fillId="38" borderId="16" xfId="0" applyNumberFormat="1" applyFill="1" applyBorder="1" applyAlignment="1">
      <alignment/>
    </xf>
    <xf numFmtId="0" fontId="0" fillId="38" borderId="23" xfId="0" applyNumberFormat="1" applyFill="1" applyBorder="1" applyAlignment="1">
      <alignment horizontal="center"/>
    </xf>
    <xf numFmtId="182" fontId="0" fillId="38" borderId="15" xfId="0" applyNumberFormat="1" applyFill="1" applyBorder="1" applyAlignment="1">
      <alignment/>
    </xf>
    <xf numFmtId="182" fontId="0" fillId="38" borderId="10" xfId="0" applyNumberFormat="1" applyFill="1" applyBorder="1" applyAlignment="1">
      <alignment/>
    </xf>
    <xf numFmtId="182" fontId="0" fillId="38" borderId="13" xfId="0" applyNumberFormat="1" applyFill="1" applyBorder="1" applyAlignment="1">
      <alignment/>
    </xf>
    <xf numFmtId="182" fontId="59" fillId="0" borderId="0" xfId="0" applyNumberFormat="1" applyFont="1" applyBorder="1" applyAlignment="1">
      <alignment/>
    </xf>
    <xf numFmtId="182" fontId="59" fillId="0" borderId="22" xfId="42" applyNumberFormat="1" applyFont="1" applyBorder="1" applyAlignment="1">
      <alignment/>
    </xf>
    <xf numFmtId="182" fontId="59" fillId="0" borderId="13" xfId="42" applyNumberFormat="1" applyFont="1" applyBorder="1" applyAlignment="1">
      <alignment/>
    </xf>
    <xf numFmtId="182" fontId="59" fillId="0" borderId="10" xfId="0" applyNumberFormat="1" applyFont="1" applyBorder="1" applyAlignment="1">
      <alignment/>
    </xf>
    <xf numFmtId="182" fontId="59" fillId="0" borderId="13" xfId="42" applyNumberFormat="1" applyFont="1" applyBorder="1" applyAlignment="1">
      <alignment horizontal="center"/>
    </xf>
    <xf numFmtId="10" fontId="0" fillId="0" borderId="0" xfId="59" applyNumberFormat="1" applyFont="1" applyAlignment="1">
      <alignment/>
    </xf>
    <xf numFmtId="182" fontId="0" fillId="0" borderId="0" xfId="42" applyNumberFormat="1" applyFont="1" applyAlignment="1">
      <alignment/>
    </xf>
    <xf numFmtId="0" fontId="79" fillId="0" borderId="0" xfId="0" applyFont="1" applyAlignment="1">
      <alignment/>
    </xf>
    <xf numFmtId="182" fontId="60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182" fontId="59" fillId="0" borderId="0" xfId="42" applyNumberFormat="1" applyFont="1" applyBorder="1" applyAlignment="1" quotePrefix="1">
      <alignment/>
    </xf>
    <xf numFmtId="0" fontId="64" fillId="0" borderId="0" xfId="0" applyFont="1" applyAlignment="1">
      <alignment horizontal="center"/>
    </xf>
    <xf numFmtId="0" fontId="78" fillId="0" borderId="20" xfId="0" applyNumberFormat="1" applyFont="1" applyBorder="1" applyAlignment="1">
      <alignment horizontal="center"/>
    </xf>
    <xf numFmtId="0" fontId="78" fillId="0" borderId="22" xfId="0" applyNumberFormat="1" applyFont="1" applyBorder="1" applyAlignment="1">
      <alignment horizontal="center"/>
    </xf>
    <xf numFmtId="10" fontId="72" fillId="0" borderId="0" xfId="59" applyNumberFormat="1" applyFont="1" applyAlignment="1">
      <alignment horizontal="center"/>
    </xf>
    <xf numFmtId="0" fontId="0" fillId="0" borderId="0" xfId="0" applyAlignment="1">
      <alignment vertical="top" wrapText="1"/>
    </xf>
    <xf numFmtId="0" fontId="65" fillId="0" borderId="0" xfId="0" applyFont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javascript:AlterAllDivs('none');" TargetMode="External" /><Relationship Id="rId3" Type="http://schemas.openxmlformats.org/officeDocument/2006/relationships/hyperlink" Target="javascript:AlterAllDivs('none');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50</xdr:row>
      <xdr:rowOff>104775</xdr:rowOff>
    </xdr:from>
    <xdr:to>
      <xdr:col>6</xdr:col>
      <xdr:colOff>419100</xdr:colOff>
      <xdr:row>53</xdr:row>
      <xdr:rowOff>0</xdr:rowOff>
    </xdr:to>
    <xdr:sp>
      <xdr:nvSpPr>
        <xdr:cNvPr id="1" name="Straight Arrow Connector 2"/>
        <xdr:cNvSpPr>
          <a:spLocks/>
        </xdr:cNvSpPr>
      </xdr:nvSpPr>
      <xdr:spPr>
        <a:xfrm flipV="1">
          <a:off x="3486150" y="8229600"/>
          <a:ext cx="676275" cy="381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638175</xdr:colOff>
      <xdr:row>75</xdr:row>
      <xdr:rowOff>95250</xdr:rowOff>
    </xdr:from>
    <xdr:to>
      <xdr:col>6</xdr:col>
      <xdr:colOff>228600</xdr:colOff>
      <xdr:row>75</xdr:row>
      <xdr:rowOff>95250</xdr:rowOff>
    </xdr:to>
    <xdr:sp>
      <xdr:nvSpPr>
        <xdr:cNvPr id="2" name="Straight Arrow Connector 4"/>
        <xdr:cNvSpPr>
          <a:spLocks/>
        </xdr:cNvSpPr>
      </xdr:nvSpPr>
      <xdr:spPr>
        <a:xfrm>
          <a:off x="1485900" y="12344400"/>
          <a:ext cx="2486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86</xdr:row>
      <xdr:rowOff>0</xdr:rowOff>
    </xdr:from>
    <xdr:to>
      <xdr:col>14</xdr:col>
      <xdr:colOff>180975</xdr:colOff>
      <xdr:row>86</xdr:row>
      <xdr:rowOff>95250</xdr:rowOff>
    </xdr:to>
    <xdr:pic>
      <xdr:nvPicPr>
        <xdr:cNvPr id="3" name="hide" descr="Hide A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14116050"/>
          <a:ext cx="1809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38100</xdr:rowOff>
    </xdr:from>
    <xdr:to>
      <xdr:col>7</xdr:col>
      <xdr:colOff>504825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38125"/>
          <a:ext cx="3895725" cy="7372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130" zoomScaleNormal="130" zoomScalePageLayoutView="0" workbookViewId="0" topLeftCell="A11">
      <selection activeCell="A29" sqref="A29"/>
    </sheetView>
  </sheetViews>
  <sheetFormatPr defaultColWidth="9.140625" defaultRowHeight="12.75"/>
  <cols>
    <col min="1" max="1" width="32.8515625" style="0" bestFit="1" customWidth="1"/>
    <col min="2" max="2" width="6.8515625" style="0" customWidth="1"/>
    <col min="3" max="3" width="15.7109375" style="141" customWidth="1"/>
    <col min="4" max="4" width="98.8515625" style="0" bestFit="1" customWidth="1"/>
  </cols>
  <sheetData>
    <row r="1" spans="1:7" ht="18.75">
      <c r="A1" s="113" t="s">
        <v>178</v>
      </c>
      <c r="B1" s="113"/>
      <c r="C1" s="157"/>
      <c r="D1" s="113"/>
      <c r="E1" s="4"/>
      <c r="F1" s="4"/>
      <c r="G1" s="4"/>
    </row>
    <row r="2" spans="2:3" ht="22.5" customHeight="1">
      <c r="B2" s="8" t="s">
        <v>17</v>
      </c>
      <c r="C2" s="141" t="s">
        <v>61</v>
      </c>
    </row>
    <row r="3" spans="1:3" ht="15.75">
      <c r="A3" s="6" t="s">
        <v>0</v>
      </c>
      <c r="B3" s="116">
        <v>300000</v>
      </c>
      <c r="C3" s="140">
        <v>450000</v>
      </c>
    </row>
    <row r="4" spans="1:3" ht="15.75">
      <c r="A4" t="s">
        <v>1</v>
      </c>
      <c r="B4" s="117">
        <v>0.06</v>
      </c>
      <c r="C4" s="154">
        <v>0.07</v>
      </c>
    </row>
    <row r="5" spans="1:3" ht="15.75">
      <c r="A5" t="s">
        <v>2</v>
      </c>
      <c r="B5" s="118">
        <v>10</v>
      </c>
      <c r="C5" s="141">
        <v>30</v>
      </c>
    </row>
    <row r="6" spans="2:3" ht="15.75" hidden="1">
      <c r="B6" s="117">
        <v>0.05</v>
      </c>
      <c r="C6" s="158">
        <v>0.07</v>
      </c>
    </row>
    <row r="7" spans="1:3" ht="15.75" hidden="1">
      <c r="A7" t="s">
        <v>2</v>
      </c>
      <c r="B7" s="118">
        <f>25-B5</f>
        <v>15</v>
      </c>
      <c r="C7" s="141">
        <v>0</v>
      </c>
    </row>
    <row r="8" spans="1:3" ht="23.25" customHeight="1">
      <c r="A8" s="114" t="s">
        <v>227</v>
      </c>
      <c r="B8" s="119">
        <f>+(B3*(1+B4)^B5)*(1+B6)^B7</f>
        <v>1116913.1224130637</v>
      </c>
      <c r="C8" s="159">
        <f>+(C3*(1+C4)^C5)</f>
        <v>3425514.769197914</v>
      </c>
    </row>
    <row r="9" ht="15.75">
      <c r="B9" s="118"/>
    </row>
    <row r="10" spans="1:2" ht="15.75">
      <c r="A10" s="6" t="s">
        <v>3</v>
      </c>
      <c r="B10" s="118"/>
    </row>
    <row r="11" spans="1:3" ht="15.75">
      <c r="A11" t="s">
        <v>4</v>
      </c>
      <c r="B11" s="116">
        <f>+B8+0.3</f>
        <v>1116913.4224130637</v>
      </c>
      <c r="C11" s="140">
        <f>+C8+0.3</f>
        <v>3425515.0691979136</v>
      </c>
    </row>
    <row r="12" spans="1:3" ht="15.75">
      <c r="A12" t="s">
        <v>5</v>
      </c>
      <c r="B12" s="120">
        <v>0.12</v>
      </c>
      <c r="C12" s="160">
        <v>0.09</v>
      </c>
    </row>
    <row r="13" spans="1:3" ht="15.75">
      <c r="A13" t="s">
        <v>6</v>
      </c>
      <c r="B13" s="117">
        <f>+B6</f>
        <v>0.05</v>
      </c>
      <c r="C13" s="154">
        <f>+C4</f>
        <v>0.07</v>
      </c>
    </row>
    <row r="14" spans="1:4" ht="15.75">
      <c r="A14" t="s">
        <v>7</v>
      </c>
      <c r="B14" s="121">
        <f>+(B12-B13)/(1+B13)</f>
        <v>0.06666666666666665</v>
      </c>
      <c r="C14" s="156">
        <f>+(C12-C13)/(1+C13)</f>
        <v>0.018691588785046717</v>
      </c>
      <c r="D14" t="s">
        <v>18</v>
      </c>
    </row>
    <row r="15" spans="1:4" ht="15.75">
      <c r="A15" t="s">
        <v>2</v>
      </c>
      <c r="B15" s="118">
        <v>19</v>
      </c>
      <c r="C15" s="141">
        <v>19</v>
      </c>
      <c r="D15" t="s">
        <v>9</v>
      </c>
    </row>
    <row r="16" spans="1:4" ht="18.75" customHeight="1">
      <c r="A16" t="s">
        <v>8</v>
      </c>
      <c r="B16" s="116">
        <f>+B11*(((1+B14)^B15)-1)/((B14*(1+B14)^B15))+B11</f>
        <v>12955145.08854538</v>
      </c>
      <c r="C16" s="140">
        <f>+C11*(((1+C14)^C15)-1)/((C14*(1+C14)^C15))+C11</f>
        <v>57786100.68988509</v>
      </c>
      <c r="D16" t="s">
        <v>15</v>
      </c>
    </row>
    <row r="17" spans="2:3" ht="15.75">
      <c r="B17" s="122"/>
      <c r="C17" s="140">
        <f>ROUND(+C16,-5)</f>
        <v>57800000</v>
      </c>
    </row>
    <row r="18" spans="1:2" ht="15.75">
      <c r="A18" s="6" t="s">
        <v>10</v>
      </c>
      <c r="B18" s="118"/>
    </row>
    <row r="19" spans="1:3" ht="15.75">
      <c r="A19" t="s">
        <v>11</v>
      </c>
      <c r="B19" s="116">
        <f>+B16</f>
        <v>12955145.08854538</v>
      </c>
      <c r="C19" s="140">
        <f>+C16</f>
        <v>57786100.68988509</v>
      </c>
    </row>
    <row r="20" spans="1:4" ht="15.75">
      <c r="A20" t="s">
        <v>12</v>
      </c>
      <c r="B20" s="118">
        <f>25*12</f>
        <v>300</v>
      </c>
      <c r="C20" s="141">
        <v>360</v>
      </c>
      <c r="D20" t="s">
        <v>101</v>
      </c>
    </row>
    <row r="21" spans="1:4" ht="15.75">
      <c r="A21" t="s">
        <v>5</v>
      </c>
      <c r="B21" s="120">
        <v>0.12</v>
      </c>
      <c r="C21" s="160">
        <v>0.09</v>
      </c>
      <c r="D21" t="s">
        <v>13</v>
      </c>
    </row>
    <row r="22" spans="1:4" ht="18.75" customHeight="1">
      <c r="A22" t="s">
        <v>14</v>
      </c>
      <c r="B22" s="116">
        <f>+(B19*B21/12)/(((1+B21/12)^B20)-1)</f>
        <v>6895.264843836389</v>
      </c>
      <c r="C22" s="140">
        <f>+(C19*C21/12)/(((1+C21/12)^C20)-1)</f>
        <v>31564.28042716136</v>
      </c>
      <c r="D22" t="s">
        <v>16</v>
      </c>
    </row>
    <row r="23" spans="2:4" ht="16.5" thickBot="1">
      <c r="B23" s="122"/>
      <c r="C23" s="238">
        <f>-FV(C21/12,C20,C22)</f>
        <v>57786100.68988508</v>
      </c>
      <c r="D23" t="s">
        <v>275</v>
      </c>
    </row>
    <row r="24" ht="15.75">
      <c r="B24" s="118"/>
    </row>
    <row r="25" ht="15.75">
      <c r="B25" s="118"/>
    </row>
    <row r="26" ht="15.75">
      <c r="A26" t="s">
        <v>228</v>
      </c>
    </row>
    <row r="27" ht="15.75">
      <c r="A27" t="s">
        <v>255</v>
      </c>
    </row>
    <row r="28" ht="15.75">
      <c r="A28" t="s">
        <v>276</v>
      </c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Equation.3" shapeId="784324" r:id="rId1"/>
    <oleObject progId="Equation.3" shapeId="78977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9">
      <selection activeCell="C37" sqref="C37"/>
    </sheetView>
  </sheetViews>
  <sheetFormatPr defaultColWidth="9.140625" defaultRowHeight="12.75"/>
  <cols>
    <col min="2" max="2" width="31.28125" style="0" customWidth="1"/>
    <col min="3" max="3" width="18.28125" style="0" customWidth="1"/>
  </cols>
  <sheetData>
    <row r="1" ht="12.75">
      <c r="D1" s="85"/>
    </row>
    <row r="2" spans="1:4" ht="15.75">
      <c r="A2" s="289"/>
      <c r="B2" s="290" t="s">
        <v>123</v>
      </c>
      <c r="C2" s="290"/>
      <c r="D2" s="85"/>
    </row>
    <row r="3" spans="1:4" ht="12.75">
      <c r="A3" s="289"/>
      <c r="B3" s="291"/>
      <c r="C3" s="291"/>
      <c r="D3" s="85"/>
    </row>
    <row r="4" spans="1:4" ht="31.5">
      <c r="A4" s="289"/>
      <c r="B4" s="86" t="s">
        <v>124</v>
      </c>
      <c r="C4" s="86" t="s">
        <v>125</v>
      </c>
      <c r="D4" s="85"/>
    </row>
    <row r="5" spans="1:4" ht="12.75">
      <c r="A5" s="289"/>
      <c r="B5" s="87" t="s">
        <v>126</v>
      </c>
      <c r="C5" s="87">
        <v>100</v>
      </c>
      <c r="D5" s="85">
        <f>(C6-C5)/C5</f>
        <v>0.09</v>
      </c>
    </row>
    <row r="6" spans="1:4" ht="12.75">
      <c r="A6" s="289"/>
      <c r="B6" s="87" t="s">
        <v>127</v>
      </c>
      <c r="C6" s="87">
        <v>109</v>
      </c>
      <c r="D6" s="85">
        <f aca="true" t="shared" si="0" ref="D6:D34">(C7-C6)/C6</f>
        <v>0.06422018348623854</v>
      </c>
    </row>
    <row r="7" spans="1:4" ht="12.75">
      <c r="A7" s="289"/>
      <c r="B7" s="87" t="s">
        <v>128</v>
      </c>
      <c r="C7" s="87">
        <v>116</v>
      </c>
      <c r="D7" s="85">
        <f t="shared" si="0"/>
        <v>0.07758620689655173</v>
      </c>
    </row>
    <row r="8" spans="1:4" ht="12.75">
      <c r="A8" s="289"/>
      <c r="B8" s="87" t="s">
        <v>129</v>
      </c>
      <c r="C8" s="87">
        <v>125</v>
      </c>
      <c r="D8" s="85">
        <f t="shared" si="0"/>
        <v>0.064</v>
      </c>
    </row>
    <row r="9" spans="1:4" ht="12.75">
      <c r="A9" s="289"/>
      <c r="B9" s="87" t="s">
        <v>130</v>
      </c>
      <c r="C9" s="87">
        <v>133</v>
      </c>
      <c r="D9" s="85">
        <f t="shared" si="0"/>
        <v>0.05263157894736842</v>
      </c>
    </row>
    <row r="10" spans="1:4" ht="12.75">
      <c r="A10" s="289"/>
      <c r="B10" s="87" t="s">
        <v>131</v>
      </c>
      <c r="C10" s="87">
        <v>140</v>
      </c>
      <c r="D10" s="85">
        <f t="shared" si="0"/>
        <v>0.07142857142857142</v>
      </c>
    </row>
    <row r="11" spans="1:4" ht="12.75">
      <c r="A11" s="289"/>
      <c r="B11" s="87" t="s">
        <v>132</v>
      </c>
      <c r="C11" s="87">
        <v>150</v>
      </c>
      <c r="D11" s="85">
        <f t="shared" si="0"/>
        <v>0.07333333333333333</v>
      </c>
    </row>
    <row r="12" spans="1:4" ht="12.75">
      <c r="A12" s="289"/>
      <c r="B12" s="87" t="s">
        <v>133</v>
      </c>
      <c r="C12" s="87">
        <v>161</v>
      </c>
      <c r="D12" s="85">
        <f t="shared" si="0"/>
        <v>0.06832298136645963</v>
      </c>
    </row>
    <row r="13" spans="1:4" ht="12.75">
      <c r="A13" s="289"/>
      <c r="B13" s="87" t="s">
        <v>134</v>
      </c>
      <c r="C13" s="87">
        <v>172</v>
      </c>
      <c r="D13" s="85">
        <f t="shared" si="0"/>
        <v>0.05813953488372093</v>
      </c>
    </row>
    <row r="14" spans="1:4" ht="12.75">
      <c r="A14" s="289"/>
      <c r="B14" s="87" t="s">
        <v>135</v>
      </c>
      <c r="C14" s="87">
        <v>182</v>
      </c>
      <c r="D14" s="85">
        <f t="shared" si="0"/>
        <v>0.09340659340659341</v>
      </c>
    </row>
    <row r="15" spans="1:4" ht="12.75">
      <c r="A15" s="289"/>
      <c r="B15" s="87" t="s">
        <v>136</v>
      </c>
      <c r="C15" s="87">
        <v>199</v>
      </c>
      <c r="D15" s="85">
        <f t="shared" si="0"/>
        <v>0.12060301507537688</v>
      </c>
    </row>
    <row r="16" spans="1:4" ht="12.75">
      <c r="A16" s="289"/>
      <c r="B16" s="87" t="s">
        <v>137</v>
      </c>
      <c r="C16" s="87">
        <v>223</v>
      </c>
      <c r="D16" s="85">
        <f t="shared" si="0"/>
        <v>0.09417040358744394</v>
      </c>
    </row>
    <row r="17" spans="1:4" ht="12.75">
      <c r="A17" s="289"/>
      <c r="B17" s="87" t="s">
        <v>138</v>
      </c>
      <c r="C17" s="87">
        <v>244</v>
      </c>
      <c r="D17" s="85">
        <f t="shared" si="0"/>
        <v>0.06147540983606557</v>
      </c>
    </row>
    <row r="18" spans="1:4" ht="12.75">
      <c r="A18" s="289"/>
      <c r="B18" s="87" t="s">
        <v>139</v>
      </c>
      <c r="C18" s="87">
        <v>259</v>
      </c>
      <c r="D18" s="85">
        <f t="shared" si="0"/>
        <v>0.08494208494208494</v>
      </c>
    </row>
    <row r="19" spans="1:4" ht="12.75">
      <c r="A19" s="289"/>
      <c r="B19" s="87" t="s">
        <v>140</v>
      </c>
      <c r="C19" s="87">
        <v>281</v>
      </c>
      <c r="D19" s="85">
        <f t="shared" si="0"/>
        <v>0.08540925266903915</v>
      </c>
    </row>
    <row r="20" spans="1:4" ht="12.75">
      <c r="A20" s="289"/>
      <c r="B20" s="87" t="s">
        <v>141</v>
      </c>
      <c r="C20" s="87">
        <v>305</v>
      </c>
      <c r="D20" s="85">
        <f t="shared" si="0"/>
        <v>0.08524590163934426</v>
      </c>
    </row>
    <row r="21" spans="1:4" ht="12.75">
      <c r="A21" s="289"/>
      <c r="B21" s="87" t="s">
        <v>142</v>
      </c>
      <c r="C21" s="87">
        <v>331</v>
      </c>
      <c r="D21" s="85">
        <f t="shared" si="0"/>
        <v>0.06042296072507553</v>
      </c>
    </row>
    <row r="22" spans="1:4" ht="12.75">
      <c r="A22" s="289"/>
      <c r="B22" s="87" t="s">
        <v>143</v>
      </c>
      <c r="C22" s="87">
        <v>351</v>
      </c>
      <c r="D22" s="85">
        <f t="shared" si="0"/>
        <v>0.10826210826210826</v>
      </c>
    </row>
    <row r="23" spans="1:4" ht="12.75">
      <c r="A23" s="289"/>
      <c r="B23" s="87" t="s">
        <v>144</v>
      </c>
      <c r="C23" s="87">
        <v>389</v>
      </c>
      <c r="D23" s="85">
        <f t="shared" si="0"/>
        <v>0.043701799485861184</v>
      </c>
    </row>
    <row r="24" spans="1:4" ht="12.75">
      <c r="A24" s="289"/>
      <c r="B24" s="87" t="s">
        <v>145</v>
      </c>
      <c r="C24" s="87">
        <v>406</v>
      </c>
      <c r="D24" s="85">
        <f t="shared" si="0"/>
        <v>0.04926108374384237</v>
      </c>
    </row>
    <row r="25" spans="1:4" ht="12.75">
      <c r="A25" s="289"/>
      <c r="B25" s="87" t="s">
        <v>146</v>
      </c>
      <c r="C25" s="87">
        <v>426</v>
      </c>
      <c r="D25" s="85">
        <f t="shared" si="0"/>
        <v>0.04929577464788732</v>
      </c>
    </row>
    <row r="26" spans="1:4" ht="12.75">
      <c r="A26" s="289"/>
      <c r="B26" s="87" t="s">
        <v>147</v>
      </c>
      <c r="C26" s="87">
        <v>447</v>
      </c>
      <c r="D26" s="85">
        <f t="shared" si="0"/>
        <v>0.035794183445190156</v>
      </c>
    </row>
    <row r="27" spans="1:4" ht="12.75">
      <c r="A27" s="289"/>
      <c r="B27" s="87" t="s">
        <v>148</v>
      </c>
      <c r="C27" s="87">
        <v>463</v>
      </c>
      <c r="D27" s="85">
        <f t="shared" si="0"/>
        <v>0.0367170626349892</v>
      </c>
    </row>
    <row r="28" spans="1:4" ht="12.75">
      <c r="A28" s="289"/>
      <c r="B28" s="87" t="s">
        <v>149</v>
      </c>
      <c r="C28" s="87">
        <v>480</v>
      </c>
      <c r="D28" s="85">
        <f t="shared" si="0"/>
        <v>0.035416666666666666</v>
      </c>
    </row>
    <row r="29" spans="1:4" ht="12.75">
      <c r="A29" s="289"/>
      <c r="B29" s="87" t="s">
        <v>150</v>
      </c>
      <c r="C29" s="87">
        <v>497</v>
      </c>
      <c r="D29" s="85">
        <f t="shared" si="0"/>
        <v>0.04426559356136821</v>
      </c>
    </row>
    <row r="30" spans="1:4" ht="12.75">
      <c r="A30" s="289"/>
      <c r="B30" s="87" t="s">
        <v>151</v>
      </c>
      <c r="C30" s="87">
        <v>519</v>
      </c>
      <c r="D30" s="85">
        <f t="shared" si="0"/>
        <v>0.06165703275529865</v>
      </c>
    </row>
    <row r="31" spans="1:4" ht="12.75">
      <c r="A31" s="289"/>
      <c r="B31" s="87" t="s">
        <v>152</v>
      </c>
      <c r="C31" s="87">
        <v>551</v>
      </c>
      <c r="D31" s="85">
        <f t="shared" si="0"/>
        <v>0.056261343012704176</v>
      </c>
    </row>
    <row r="32" spans="1:4" ht="12.75">
      <c r="A32" s="289"/>
      <c r="B32" s="87" t="s">
        <v>153</v>
      </c>
      <c r="C32" s="87">
        <v>582</v>
      </c>
      <c r="D32" s="85">
        <f t="shared" si="0"/>
        <v>0.0859106529209622</v>
      </c>
    </row>
    <row r="33" spans="1:4" ht="12.75">
      <c r="A33" s="289"/>
      <c r="B33" s="87" t="s">
        <v>154</v>
      </c>
      <c r="C33" s="87">
        <v>632</v>
      </c>
      <c r="D33" s="85">
        <f t="shared" si="0"/>
        <v>0.125</v>
      </c>
    </row>
    <row r="34" spans="1:4" ht="12.75">
      <c r="A34" s="289"/>
      <c r="B34" s="87" t="s">
        <v>155</v>
      </c>
      <c r="C34" s="87">
        <v>711</v>
      </c>
      <c r="D34" s="85">
        <f t="shared" si="0"/>
        <v>0.10407876230661041</v>
      </c>
    </row>
    <row r="35" spans="1:4" ht="12.75">
      <c r="A35" s="289"/>
      <c r="B35" s="88" t="s">
        <v>156</v>
      </c>
      <c r="C35" s="88">
        <v>785</v>
      </c>
      <c r="D35" s="85"/>
    </row>
    <row r="36" spans="2:4" ht="12.75">
      <c r="B36" s="88" t="s">
        <v>273</v>
      </c>
      <c r="C36" s="88">
        <v>852</v>
      </c>
      <c r="D36" s="85"/>
    </row>
    <row r="37" spans="2:4" ht="12.75">
      <c r="B37" s="88" t="s">
        <v>274</v>
      </c>
      <c r="C37" s="88">
        <v>939</v>
      </c>
      <c r="D37" s="85"/>
    </row>
    <row r="38" spans="1:4" ht="15.75">
      <c r="A38" s="89" t="s">
        <v>157</v>
      </c>
      <c r="B38" s="89"/>
      <c r="C38" s="90">
        <f>((939/100)^(1/33)-1)</f>
        <v>0.07022407152313193</v>
      </c>
      <c r="D38" s="85"/>
    </row>
    <row r="39" ht="12.75">
      <c r="D39" s="85"/>
    </row>
    <row r="40" ht="12.75">
      <c r="D40" s="85"/>
    </row>
  </sheetData>
  <sheetProtection/>
  <mergeCells count="3">
    <mergeCell ref="A2:A35"/>
    <mergeCell ref="B2:C2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3:Q187"/>
  <sheetViews>
    <sheetView zoomScalePageLayoutView="0" workbookViewId="0" topLeftCell="A75">
      <selection activeCell="I101" sqref="I101"/>
    </sheetView>
  </sheetViews>
  <sheetFormatPr defaultColWidth="9.140625" defaultRowHeight="12.75"/>
  <cols>
    <col min="3" max="3" width="9.28125" style="0" bestFit="1" customWidth="1"/>
    <col min="4" max="4" width="12.421875" style="0" bestFit="1" customWidth="1"/>
    <col min="6" max="8" width="10.00390625" style="0" bestFit="1" customWidth="1"/>
    <col min="9" max="9" width="12.421875" style="0" bestFit="1" customWidth="1"/>
    <col min="12" max="12" width="12.421875" style="0" bestFit="1" customWidth="1"/>
    <col min="14" max="14" width="11.421875" style="0" bestFit="1" customWidth="1"/>
    <col min="15" max="16" width="11.140625" style="0" customWidth="1"/>
    <col min="17" max="17" width="12.140625" style="0" customWidth="1"/>
  </cols>
  <sheetData>
    <row r="3" spans="3:17" ht="12.75">
      <c r="C3" s="73"/>
      <c r="D3" s="74"/>
      <c r="E3" s="74" t="s">
        <v>108</v>
      </c>
      <c r="F3" s="74"/>
      <c r="G3" s="74"/>
      <c r="H3" s="74"/>
      <c r="I3" s="75"/>
      <c r="K3" s="73"/>
      <c r="L3" s="74"/>
      <c r="M3" s="74" t="s">
        <v>108</v>
      </c>
      <c r="N3" s="74"/>
      <c r="O3" s="74"/>
      <c r="P3" s="74"/>
      <c r="Q3" s="75"/>
    </row>
    <row r="4" spans="3:17" ht="12.75">
      <c r="C4" s="76"/>
      <c r="D4" s="77" t="s">
        <v>104</v>
      </c>
      <c r="E4" s="77"/>
      <c r="F4" s="77" t="s">
        <v>106</v>
      </c>
      <c r="G4" s="77" t="s">
        <v>105</v>
      </c>
      <c r="H4" s="77" t="s">
        <v>107</v>
      </c>
      <c r="I4" s="78" t="s">
        <v>45</v>
      </c>
      <c r="K4" s="76"/>
      <c r="L4" s="77" t="s">
        <v>104</v>
      </c>
      <c r="M4" s="77"/>
      <c r="N4" s="77" t="s">
        <v>106</v>
      </c>
      <c r="O4" s="77" t="s">
        <v>105</v>
      </c>
      <c r="P4" s="77" t="s">
        <v>107</v>
      </c>
      <c r="Q4" s="78" t="s">
        <v>45</v>
      </c>
    </row>
    <row r="5" spans="3:17" ht="12.75">
      <c r="C5" s="79"/>
      <c r="D5" s="80"/>
      <c r="E5" s="80"/>
      <c r="F5" s="80"/>
      <c r="G5" s="187">
        <v>0.105</v>
      </c>
      <c r="H5" s="80"/>
      <c r="I5" s="72"/>
      <c r="K5" s="79"/>
      <c r="L5" s="80"/>
      <c r="M5" s="80"/>
      <c r="N5" s="80"/>
      <c r="O5" s="80">
        <f>+G5</f>
        <v>0.105</v>
      </c>
      <c r="P5" s="80"/>
      <c r="Q5" s="72"/>
    </row>
    <row r="6" spans="3:17" ht="12.75">
      <c r="C6" s="79">
        <v>1</v>
      </c>
      <c r="D6" s="80">
        <f>+'life cycle  EXAMPLE'!G74</f>
        <v>9000000</v>
      </c>
      <c r="E6" s="80"/>
      <c r="F6" s="80">
        <f>+'life cycle  EXAMPLE'!G76</f>
        <v>99485.90313274493</v>
      </c>
      <c r="G6" s="80">
        <f>+D6*G$5/12</f>
        <v>78750</v>
      </c>
      <c r="H6" s="80">
        <f>+F6-G6</f>
        <v>20735.903132744934</v>
      </c>
      <c r="I6" s="72">
        <f>+D6-H6</f>
        <v>8979264.096867256</v>
      </c>
      <c r="K6" s="79">
        <v>1</v>
      </c>
      <c r="L6" s="80">
        <f>+D6</f>
        <v>9000000</v>
      </c>
      <c r="M6" s="80"/>
      <c r="N6" s="80">
        <f>+F6</f>
        <v>99485.90313274493</v>
      </c>
      <c r="O6" s="80">
        <f>+L6*O$5/12</f>
        <v>78750</v>
      </c>
      <c r="P6" s="80">
        <f>+N6-O6</f>
        <v>20735.903132744934</v>
      </c>
      <c r="Q6" s="72">
        <f>+L6-P6</f>
        <v>8979264.096867256</v>
      </c>
    </row>
    <row r="7" spans="3:17" ht="12.75">
      <c r="C7" s="79">
        <f>+C6+1</f>
        <v>2</v>
      </c>
      <c r="D7" s="80">
        <f>+I6</f>
        <v>8979264.096867256</v>
      </c>
      <c r="E7" s="80"/>
      <c r="F7" s="80">
        <f>+F6</f>
        <v>99485.90313274493</v>
      </c>
      <c r="G7" s="80">
        <f aca="true" t="shared" si="0" ref="G7:G70">+D7*G$5/12</f>
        <v>78568.56084758848</v>
      </c>
      <c r="H7" s="80">
        <f aca="true" t="shared" si="1" ref="H7:H70">+F7-G7</f>
        <v>20917.342285156454</v>
      </c>
      <c r="I7" s="72">
        <f aca="true" t="shared" si="2" ref="I7:I70">+D7-H7</f>
        <v>8958346.7545821</v>
      </c>
      <c r="K7" s="79">
        <f>+K6+1</f>
        <v>2</v>
      </c>
      <c r="L7" s="80">
        <f>+Q6</f>
        <v>8979264.096867256</v>
      </c>
      <c r="M7" s="80"/>
      <c r="N7" s="80">
        <f>+N6</f>
        <v>99485.90313274493</v>
      </c>
      <c r="O7" s="80">
        <f aca="true" t="shared" si="3" ref="O7:O70">+L7*O$5/12</f>
        <v>78568.56084758848</v>
      </c>
      <c r="P7" s="80">
        <f aca="true" t="shared" si="4" ref="P7:P70">+N7-O7</f>
        <v>20917.342285156454</v>
      </c>
      <c r="Q7" s="72">
        <f aca="true" t="shared" si="5" ref="Q7:Q70">+L7-P7</f>
        <v>8958346.7545821</v>
      </c>
    </row>
    <row r="8" spans="3:17" ht="12.75">
      <c r="C8" s="79">
        <f aca="true" t="shared" si="6" ref="C8:C71">+C7+1</f>
        <v>3</v>
      </c>
      <c r="D8" s="80">
        <f aca="true" t="shared" si="7" ref="D8:D71">+I7</f>
        <v>8958346.7545821</v>
      </c>
      <c r="E8" s="80"/>
      <c r="F8" s="80">
        <f aca="true" t="shared" si="8" ref="F8:F71">+F7</f>
        <v>99485.90313274493</v>
      </c>
      <c r="G8" s="80">
        <f t="shared" si="0"/>
        <v>78385.53410259336</v>
      </c>
      <c r="H8" s="80">
        <f t="shared" si="1"/>
        <v>21100.369030151574</v>
      </c>
      <c r="I8" s="72">
        <f t="shared" si="2"/>
        <v>8937246.385551948</v>
      </c>
      <c r="K8" s="79">
        <f aca="true" t="shared" si="9" ref="K8:K71">+K7+1</f>
        <v>3</v>
      </c>
      <c r="L8" s="80">
        <f aca="true" t="shared" si="10" ref="L8:L71">+Q7</f>
        <v>8958346.7545821</v>
      </c>
      <c r="M8" s="80"/>
      <c r="N8" s="80">
        <f aca="true" t="shared" si="11" ref="N8:N71">+N7</f>
        <v>99485.90313274493</v>
      </c>
      <c r="O8" s="80">
        <f t="shared" si="3"/>
        <v>78385.53410259336</v>
      </c>
      <c r="P8" s="80">
        <f t="shared" si="4"/>
        <v>21100.369030151574</v>
      </c>
      <c r="Q8" s="72">
        <f t="shared" si="5"/>
        <v>8937246.385551948</v>
      </c>
    </row>
    <row r="9" spans="3:17" ht="12.75">
      <c r="C9" s="79">
        <f t="shared" si="6"/>
        <v>4</v>
      </c>
      <c r="D9" s="80">
        <f t="shared" si="7"/>
        <v>8937246.385551948</v>
      </c>
      <c r="E9" s="80"/>
      <c r="F9" s="80">
        <f t="shared" si="8"/>
        <v>99485.90313274493</v>
      </c>
      <c r="G9" s="80">
        <f t="shared" si="0"/>
        <v>78200.90587357954</v>
      </c>
      <c r="H9" s="80">
        <f t="shared" si="1"/>
        <v>21284.997259165393</v>
      </c>
      <c r="I9" s="72">
        <f t="shared" si="2"/>
        <v>8915961.388292782</v>
      </c>
      <c r="K9" s="79">
        <f t="shared" si="9"/>
        <v>4</v>
      </c>
      <c r="L9" s="80">
        <f t="shared" si="10"/>
        <v>8937246.385551948</v>
      </c>
      <c r="M9" s="80"/>
      <c r="N9" s="80">
        <f t="shared" si="11"/>
        <v>99485.90313274493</v>
      </c>
      <c r="O9" s="80">
        <f t="shared" si="3"/>
        <v>78200.90587357954</v>
      </c>
      <c r="P9" s="80">
        <f t="shared" si="4"/>
        <v>21284.997259165393</v>
      </c>
      <c r="Q9" s="72">
        <f t="shared" si="5"/>
        <v>8915961.388292782</v>
      </c>
    </row>
    <row r="10" spans="3:17" ht="12.75">
      <c r="C10" s="79">
        <f t="shared" si="6"/>
        <v>5</v>
      </c>
      <c r="D10" s="80">
        <f t="shared" si="7"/>
        <v>8915961.388292782</v>
      </c>
      <c r="E10" s="80"/>
      <c r="F10" s="80">
        <f t="shared" si="8"/>
        <v>99485.90313274493</v>
      </c>
      <c r="G10" s="80">
        <f t="shared" si="0"/>
        <v>78014.66214756183</v>
      </c>
      <c r="H10" s="80">
        <f t="shared" si="1"/>
        <v>21471.240985183103</v>
      </c>
      <c r="I10" s="72">
        <f t="shared" si="2"/>
        <v>8894490.147307599</v>
      </c>
      <c r="K10" s="79">
        <f t="shared" si="9"/>
        <v>5</v>
      </c>
      <c r="L10" s="80">
        <f t="shared" si="10"/>
        <v>8915961.388292782</v>
      </c>
      <c r="M10" s="80"/>
      <c r="N10" s="80">
        <f t="shared" si="11"/>
        <v>99485.90313274493</v>
      </c>
      <c r="O10" s="80">
        <f t="shared" si="3"/>
        <v>78014.66214756183</v>
      </c>
      <c r="P10" s="80">
        <f t="shared" si="4"/>
        <v>21471.240985183103</v>
      </c>
      <c r="Q10" s="72">
        <f t="shared" si="5"/>
        <v>8894490.147307599</v>
      </c>
    </row>
    <row r="11" spans="3:17" ht="12.75">
      <c r="C11" s="79">
        <f t="shared" si="6"/>
        <v>6</v>
      </c>
      <c r="D11" s="80">
        <f t="shared" si="7"/>
        <v>8894490.147307599</v>
      </c>
      <c r="E11" s="80"/>
      <c r="F11" s="80">
        <f t="shared" si="8"/>
        <v>99485.90313274493</v>
      </c>
      <c r="G11" s="80">
        <f t="shared" si="0"/>
        <v>77826.78878894149</v>
      </c>
      <c r="H11" s="80">
        <f t="shared" si="1"/>
        <v>21659.11434380345</v>
      </c>
      <c r="I11" s="72">
        <f t="shared" si="2"/>
        <v>8872831.032963796</v>
      </c>
      <c r="K11" s="79">
        <f t="shared" si="9"/>
        <v>6</v>
      </c>
      <c r="L11" s="80">
        <f t="shared" si="10"/>
        <v>8894490.147307599</v>
      </c>
      <c r="M11" s="80"/>
      <c r="N11" s="80">
        <f t="shared" si="11"/>
        <v>99485.90313274493</v>
      </c>
      <c r="O11" s="80">
        <f t="shared" si="3"/>
        <v>77826.78878894149</v>
      </c>
      <c r="P11" s="80">
        <f t="shared" si="4"/>
        <v>21659.11434380345</v>
      </c>
      <c r="Q11" s="72">
        <f t="shared" si="5"/>
        <v>8872831.032963796</v>
      </c>
    </row>
    <row r="12" spans="3:17" ht="12.75">
      <c r="C12" s="79">
        <f t="shared" si="6"/>
        <v>7</v>
      </c>
      <c r="D12" s="80">
        <f t="shared" si="7"/>
        <v>8872831.032963796</v>
      </c>
      <c r="E12" s="80"/>
      <c r="F12" s="80">
        <f t="shared" si="8"/>
        <v>99485.90313274493</v>
      </c>
      <c r="G12" s="80">
        <f t="shared" si="0"/>
        <v>77637.27153843321</v>
      </c>
      <c r="H12" s="80">
        <f t="shared" si="1"/>
        <v>21848.631594311722</v>
      </c>
      <c r="I12" s="72">
        <f t="shared" si="2"/>
        <v>8850982.401369484</v>
      </c>
      <c r="K12" s="79">
        <f t="shared" si="9"/>
        <v>7</v>
      </c>
      <c r="L12" s="80">
        <f t="shared" si="10"/>
        <v>8872831.032963796</v>
      </c>
      <c r="M12" s="80"/>
      <c r="N12" s="80">
        <f t="shared" si="11"/>
        <v>99485.90313274493</v>
      </c>
      <c r="O12" s="80">
        <f t="shared" si="3"/>
        <v>77637.27153843321</v>
      </c>
      <c r="P12" s="80">
        <f t="shared" si="4"/>
        <v>21848.631594311722</v>
      </c>
      <c r="Q12" s="72">
        <f t="shared" si="5"/>
        <v>8850982.401369484</v>
      </c>
    </row>
    <row r="13" spans="3:17" ht="12.75">
      <c r="C13" s="79">
        <f t="shared" si="6"/>
        <v>8</v>
      </c>
      <c r="D13" s="80">
        <f t="shared" si="7"/>
        <v>8850982.401369484</v>
      </c>
      <c r="E13" s="80"/>
      <c r="F13" s="80">
        <f t="shared" si="8"/>
        <v>99485.90313274493</v>
      </c>
      <c r="G13" s="80">
        <f t="shared" si="0"/>
        <v>77446.09601198298</v>
      </c>
      <c r="H13" s="80">
        <f t="shared" si="1"/>
        <v>22039.80712076195</v>
      </c>
      <c r="I13" s="72">
        <f t="shared" si="2"/>
        <v>8828942.594248721</v>
      </c>
      <c r="K13" s="79">
        <f t="shared" si="9"/>
        <v>8</v>
      </c>
      <c r="L13" s="80">
        <f t="shared" si="10"/>
        <v>8850982.401369484</v>
      </c>
      <c r="M13" s="80"/>
      <c r="N13" s="80">
        <f t="shared" si="11"/>
        <v>99485.90313274493</v>
      </c>
      <c r="O13" s="80">
        <f t="shared" si="3"/>
        <v>77446.09601198298</v>
      </c>
      <c r="P13" s="80">
        <f t="shared" si="4"/>
        <v>22039.80712076195</v>
      </c>
      <c r="Q13" s="72">
        <f t="shared" si="5"/>
        <v>8828942.594248721</v>
      </c>
    </row>
    <row r="14" spans="3:17" ht="12.75">
      <c r="C14" s="79">
        <f t="shared" si="6"/>
        <v>9</v>
      </c>
      <c r="D14" s="80">
        <f t="shared" si="7"/>
        <v>8828942.594248721</v>
      </c>
      <c r="E14" s="80"/>
      <c r="F14" s="80">
        <f t="shared" si="8"/>
        <v>99485.90313274493</v>
      </c>
      <c r="G14" s="80">
        <f t="shared" si="0"/>
        <v>77253.2476996763</v>
      </c>
      <c r="H14" s="80">
        <f t="shared" si="1"/>
        <v>22232.655433068634</v>
      </c>
      <c r="I14" s="72">
        <f t="shared" si="2"/>
        <v>8806709.938815653</v>
      </c>
      <c r="K14" s="79">
        <f t="shared" si="9"/>
        <v>9</v>
      </c>
      <c r="L14" s="80">
        <f t="shared" si="10"/>
        <v>8828942.594248721</v>
      </c>
      <c r="M14" s="80"/>
      <c r="N14" s="80">
        <f t="shared" si="11"/>
        <v>99485.90313274493</v>
      </c>
      <c r="O14" s="80">
        <f t="shared" si="3"/>
        <v>77253.2476996763</v>
      </c>
      <c r="P14" s="80">
        <f t="shared" si="4"/>
        <v>22232.655433068634</v>
      </c>
      <c r="Q14" s="72">
        <f t="shared" si="5"/>
        <v>8806709.938815653</v>
      </c>
    </row>
    <row r="15" spans="3:17" ht="12.75">
      <c r="C15" s="79">
        <f t="shared" si="6"/>
        <v>10</v>
      </c>
      <c r="D15" s="80">
        <f t="shared" si="7"/>
        <v>8806709.938815653</v>
      </c>
      <c r="E15" s="80"/>
      <c r="F15" s="80">
        <f t="shared" si="8"/>
        <v>99485.90313274493</v>
      </c>
      <c r="G15" s="80">
        <f t="shared" si="0"/>
        <v>77058.71196463697</v>
      </c>
      <c r="H15" s="80">
        <f t="shared" si="1"/>
        <v>22427.191168107965</v>
      </c>
      <c r="I15" s="72">
        <f t="shared" si="2"/>
        <v>8784282.747647546</v>
      </c>
      <c r="K15" s="79">
        <f t="shared" si="9"/>
        <v>10</v>
      </c>
      <c r="L15" s="80">
        <f t="shared" si="10"/>
        <v>8806709.938815653</v>
      </c>
      <c r="M15" s="80"/>
      <c r="N15" s="80">
        <f t="shared" si="11"/>
        <v>99485.90313274493</v>
      </c>
      <c r="O15" s="80">
        <f t="shared" si="3"/>
        <v>77058.71196463697</v>
      </c>
      <c r="P15" s="80">
        <f t="shared" si="4"/>
        <v>22427.191168107965</v>
      </c>
      <c r="Q15" s="72">
        <f t="shared" si="5"/>
        <v>8784282.747647546</v>
      </c>
    </row>
    <row r="16" spans="3:17" ht="12.75">
      <c r="C16" s="79">
        <f t="shared" si="6"/>
        <v>11</v>
      </c>
      <c r="D16" s="80">
        <f t="shared" si="7"/>
        <v>8784282.747647546</v>
      </c>
      <c r="E16" s="80"/>
      <c r="F16" s="80">
        <f t="shared" si="8"/>
        <v>99485.90313274493</v>
      </c>
      <c r="G16" s="80">
        <f t="shared" si="0"/>
        <v>76862.47404191602</v>
      </c>
      <c r="H16" s="80">
        <f t="shared" si="1"/>
        <v>22623.42909082891</v>
      </c>
      <c r="I16" s="72">
        <f t="shared" si="2"/>
        <v>8761659.318556717</v>
      </c>
      <c r="K16" s="79">
        <f t="shared" si="9"/>
        <v>11</v>
      </c>
      <c r="L16" s="80">
        <f t="shared" si="10"/>
        <v>8784282.747647546</v>
      </c>
      <c r="M16" s="80"/>
      <c r="N16" s="80">
        <f t="shared" si="11"/>
        <v>99485.90313274493</v>
      </c>
      <c r="O16" s="80">
        <f t="shared" si="3"/>
        <v>76862.47404191602</v>
      </c>
      <c r="P16" s="80">
        <f t="shared" si="4"/>
        <v>22623.42909082891</v>
      </c>
      <c r="Q16" s="72">
        <f t="shared" si="5"/>
        <v>8761659.318556717</v>
      </c>
    </row>
    <row r="17" spans="3:17" ht="12.75">
      <c r="C17" s="79">
        <f t="shared" si="6"/>
        <v>12</v>
      </c>
      <c r="D17" s="80">
        <f t="shared" si="7"/>
        <v>8761659.318556717</v>
      </c>
      <c r="E17" s="80"/>
      <c r="F17" s="80">
        <f t="shared" si="8"/>
        <v>99485.90313274493</v>
      </c>
      <c r="G17" s="80">
        <f t="shared" si="0"/>
        <v>76664.51903737127</v>
      </c>
      <c r="H17" s="80">
        <f t="shared" si="1"/>
        <v>22821.384095373665</v>
      </c>
      <c r="I17" s="72">
        <f t="shared" si="2"/>
        <v>8738837.934461342</v>
      </c>
      <c r="K17" s="79">
        <f t="shared" si="9"/>
        <v>12</v>
      </c>
      <c r="L17" s="80">
        <f t="shared" si="10"/>
        <v>8761659.318556717</v>
      </c>
      <c r="M17" s="80"/>
      <c r="N17" s="80">
        <f t="shared" si="11"/>
        <v>99485.90313274493</v>
      </c>
      <c r="O17" s="80">
        <f t="shared" si="3"/>
        <v>76664.51903737127</v>
      </c>
      <c r="P17" s="80">
        <f t="shared" si="4"/>
        <v>22821.384095373665</v>
      </c>
      <c r="Q17" s="72">
        <f t="shared" si="5"/>
        <v>8738837.934461342</v>
      </c>
    </row>
    <row r="18" spans="3:17" ht="12.75">
      <c r="C18" s="79">
        <f t="shared" si="6"/>
        <v>13</v>
      </c>
      <c r="D18" s="80">
        <f t="shared" si="7"/>
        <v>8738837.934461342</v>
      </c>
      <c r="E18" s="80"/>
      <c r="F18" s="80">
        <f t="shared" si="8"/>
        <v>99485.90313274493</v>
      </c>
      <c r="G18" s="80">
        <f t="shared" si="0"/>
        <v>76464.83192653673</v>
      </c>
      <c r="H18" s="80">
        <f t="shared" si="1"/>
        <v>23021.071206208202</v>
      </c>
      <c r="I18" s="72">
        <f t="shared" si="2"/>
        <v>8715816.863255134</v>
      </c>
      <c r="K18" s="79">
        <f t="shared" si="9"/>
        <v>13</v>
      </c>
      <c r="L18" s="80">
        <f t="shared" si="10"/>
        <v>8738837.934461342</v>
      </c>
      <c r="M18" s="80"/>
      <c r="N18" s="80">
        <f t="shared" si="11"/>
        <v>99485.90313274493</v>
      </c>
      <c r="O18" s="80">
        <f t="shared" si="3"/>
        <v>76464.83192653673</v>
      </c>
      <c r="P18" s="80">
        <f t="shared" si="4"/>
        <v>23021.071206208202</v>
      </c>
      <c r="Q18" s="72">
        <f t="shared" si="5"/>
        <v>8715816.863255134</v>
      </c>
    </row>
    <row r="19" spans="3:17" ht="12.75">
      <c r="C19" s="79">
        <f t="shared" si="6"/>
        <v>14</v>
      </c>
      <c r="D19" s="80">
        <f t="shared" si="7"/>
        <v>8715816.863255134</v>
      </c>
      <c r="E19" s="80"/>
      <c r="F19" s="80">
        <f t="shared" si="8"/>
        <v>99485.90313274493</v>
      </c>
      <c r="G19" s="80">
        <f t="shared" si="0"/>
        <v>76263.39755348243</v>
      </c>
      <c r="H19" s="80">
        <f t="shared" si="1"/>
        <v>23222.505579262506</v>
      </c>
      <c r="I19" s="72">
        <f t="shared" si="2"/>
        <v>8692594.35767587</v>
      </c>
      <c r="K19" s="79">
        <f t="shared" si="9"/>
        <v>14</v>
      </c>
      <c r="L19" s="80">
        <f t="shared" si="10"/>
        <v>8715816.863255134</v>
      </c>
      <c r="M19" s="80"/>
      <c r="N19" s="80">
        <f t="shared" si="11"/>
        <v>99485.90313274493</v>
      </c>
      <c r="O19" s="80">
        <f t="shared" si="3"/>
        <v>76263.39755348243</v>
      </c>
      <c r="P19" s="80">
        <f t="shared" si="4"/>
        <v>23222.505579262506</v>
      </c>
      <c r="Q19" s="72">
        <f t="shared" si="5"/>
        <v>8692594.35767587</v>
      </c>
    </row>
    <row r="20" spans="3:17" ht="12.75">
      <c r="C20" s="79">
        <f t="shared" si="6"/>
        <v>15</v>
      </c>
      <c r="D20" s="80">
        <f t="shared" si="7"/>
        <v>8692594.35767587</v>
      </c>
      <c r="E20" s="80"/>
      <c r="F20" s="80">
        <f t="shared" si="8"/>
        <v>99485.90313274493</v>
      </c>
      <c r="G20" s="80">
        <f t="shared" si="0"/>
        <v>76060.20062966387</v>
      </c>
      <c r="H20" s="80">
        <f t="shared" si="1"/>
        <v>23425.702503081062</v>
      </c>
      <c r="I20" s="72">
        <f t="shared" si="2"/>
        <v>8669168.65517279</v>
      </c>
      <c r="K20" s="79">
        <f t="shared" si="9"/>
        <v>15</v>
      </c>
      <c r="L20" s="80">
        <f t="shared" si="10"/>
        <v>8692594.35767587</v>
      </c>
      <c r="M20" s="80"/>
      <c r="N20" s="80">
        <f t="shared" si="11"/>
        <v>99485.90313274493</v>
      </c>
      <c r="O20" s="80">
        <f t="shared" si="3"/>
        <v>76060.20062966387</v>
      </c>
      <c r="P20" s="80">
        <f t="shared" si="4"/>
        <v>23425.702503081062</v>
      </c>
      <c r="Q20" s="72">
        <f t="shared" si="5"/>
        <v>8669168.65517279</v>
      </c>
    </row>
    <row r="21" spans="3:17" ht="12.75">
      <c r="C21" s="79">
        <f t="shared" si="6"/>
        <v>16</v>
      </c>
      <c r="D21" s="80">
        <f t="shared" si="7"/>
        <v>8669168.65517279</v>
      </c>
      <c r="E21" s="80"/>
      <c r="F21" s="80">
        <f t="shared" si="8"/>
        <v>99485.90313274493</v>
      </c>
      <c r="G21" s="80">
        <f t="shared" si="0"/>
        <v>75855.2257327619</v>
      </c>
      <c r="H21" s="80">
        <f t="shared" si="1"/>
        <v>23630.677399983033</v>
      </c>
      <c r="I21" s="72">
        <f t="shared" si="2"/>
        <v>8645537.977772806</v>
      </c>
      <c r="K21" s="79">
        <f t="shared" si="9"/>
        <v>16</v>
      </c>
      <c r="L21" s="80">
        <f t="shared" si="10"/>
        <v>8669168.65517279</v>
      </c>
      <c r="M21" s="80"/>
      <c r="N21" s="80">
        <f t="shared" si="11"/>
        <v>99485.90313274493</v>
      </c>
      <c r="O21" s="80">
        <f t="shared" si="3"/>
        <v>75855.2257327619</v>
      </c>
      <c r="P21" s="80">
        <f t="shared" si="4"/>
        <v>23630.677399983033</v>
      </c>
      <c r="Q21" s="72">
        <f t="shared" si="5"/>
        <v>8645537.977772806</v>
      </c>
    </row>
    <row r="22" spans="3:17" ht="12.75">
      <c r="C22" s="79">
        <f t="shared" si="6"/>
        <v>17</v>
      </c>
      <c r="D22" s="80">
        <f t="shared" si="7"/>
        <v>8645537.977772806</v>
      </c>
      <c r="E22" s="80"/>
      <c r="F22" s="80">
        <f t="shared" si="8"/>
        <v>99485.90313274493</v>
      </c>
      <c r="G22" s="80">
        <f t="shared" si="0"/>
        <v>75648.45730551206</v>
      </c>
      <c r="H22" s="80">
        <f t="shared" si="1"/>
        <v>23837.445827232877</v>
      </c>
      <c r="I22" s="72">
        <f t="shared" si="2"/>
        <v>8621700.531945573</v>
      </c>
      <c r="K22" s="79">
        <f t="shared" si="9"/>
        <v>17</v>
      </c>
      <c r="L22" s="80">
        <f t="shared" si="10"/>
        <v>8645537.977772806</v>
      </c>
      <c r="M22" s="80"/>
      <c r="N22" s="80">
        <f t="shared" si="11"/>
        <v>99485.90313274493</v>
      </c>
      <c r="O22" s="80">
        <f t="shared" si="3"/>
        <v>75648.45730551206</v>
      </c>
      <c r="P22" s="80">
        <f t="shared" si="4"/>
        <v>23837.445827232877</v>
      </c>
      <c r="Q22" s="72">
        <f t="shared" si="5"/>
        <v>8621700.531945573</v>
      </c>
    </row>
    <row r="23" spans="3:17" ht="12.75">
      <c r="C23" s="79">
        <f t="shared" si="6"/>
        <v>18</v>
      </c>
      <c r="D23" s="80">
        <f t="shared" si="7"/>
        <v>8621700.531945573</v>
      </c>
      <c r="E23" s="80"/>
      <c r="F23" s="80">
        <f t="shared" si="8"/>
        <v>99485.90313274493</v>
      </c>
      <c r="G23" s="80">
        <f t="shared" si="0"/>
        <v>75439.87965452376</v>
      </c>
      <c r="H23" s="80">
        <f t="shared" si="1"/>
        <v>24046.023478221177</v>
      </c>
      <c r="I23" s="72">
        <f t="shared" si="2"/>
        <v>8597654.508467352</v>
      </c>
      <c r="K23" s="79">
        <f t="shared" si="9"/>
        <v>18</v>
      </c>
      <c r="L23" s="80">
        <f t="shared" si="10"/>
        <v>8621700.531945573</v>
      </c>
      <c r="M23" s="80"/>
      <c r="N23" s="80">
        <f t="shared" si="11"/>
        <v>99485.90313274493</v>
      </c>
      <c r="O23" s="80">
        <f t="shared" si="3"/>
        <v>75439.87965452376</v>
      </c>
      <c r="P23" s="80">
        <f t="shared" si="4"/>
        <v>24046.023478221177</v>
      </c>
      <c r="Q23" s="72">
        <f t="shared" si="5"/>
        <v>8597654.508467352</v>
      </c>
    </row>
    <row r="24" spans="3:17" ht="12.75">
      <c r="C24" s="79">
        <f t="shared" si="6"/>
        <v>19</v>
      </c>
      <c r="D24" s="80">
        <f t="shared" si="7"/>
        <v>8597654.508467352</v>
      </c>
      <c r="E24" s="80"/>
      <c r="F24" s="80">
        <f t="shared" si="8"/>
        <v>99485.90313274493</v>
      </c>
      <c r="G24" s="80">
        <f t="shared" si="0"/>
        <v>75229.47694908932</v>
      </c>
      <c r="H24" s="80">
        <f t="shared" si="1"/>
        <v>24256.42618365561</v>
      </c>
      <c r="I24" s="72">
        <f t="shared" si="2"/>
        <v>8573398.082283696</v>
      </c>
      <c r="K24" s="79">
        <f t="shared" si="9"/>
        <v>19</v>
      </c>
      <c r="L24" s="80">
        <f t="shared" si="10"/>
        <v>8597654.508467352</v>
      </c>
      <c r="M24" s="80"/>
      <c r="N24" s="80">
        <f t="shared" si="11"/>
        <v>99485.90313274493</v>
      </c>
      <c r="O24" s="80">
        <f t="shared" si="3"/>
        <v>75229.47694908932</v>
      </c>
      <c r="P24" s="80">
        <f t="shared" si="4"/>
        <v>24256.42618365561</v>
      </c>
      <c r="Q24" s="72">
        <f t="shared" si="5"/>
        <v>8573398.082283696</v>
      </c>
    </row>
    <row r="25" spans="3:17" ht="12.75">
      <c r="C25" s="79">
        <f t="shared" si="6"/>
        <v>20</v>
      </c>
      <c r="D25" s="80">
        <f t="shared" si="7"/>
        <v>8573398.082283696</v>
      </c>
      <c r="E25" s="80"/>
      <c r="F25" s="80">
        <f t="shared" si="8"/>
        <v>99485.90313274493</v>
      </c>
      <c r="G25" s="80">
        <f t="shared" si="0"/>
        <v>75017.23321998234</v>
      </c>
      <c r="H25" s="80">
        <f t="shared" si="1"/>
        <v>24468.66991276259</v>
      </c>
      <c r="I25" s="72">
        <f t="shared" si="2"/>
        <v>8548929.412370933</v>
      </c>
      <c r="K25" s="79">
        <f t="shared" si="9"/>
        <v>20</v>
      </c>
      <c r="L25" s="80">
        <f t="shared" si="10"/>
        <v>8573398.082283696</v>
      </c>
      <c r="M25" s="80"/>
      <c r="N25" s="80">
        <f t="shared" si="11"/>
        <v>99485.90313274493</v>
      </c>
      <c r="O25" s="80">
        <f t="shared" si="3"/>
        <v>75017.23321998234</v>
      </c>
      <c r="P25" s="80">
        <f t="shared" si="4"/>
        <v>24468.66991276259</v>
      </c>
      <c r="Q25" s="72">
        <f t="shared" si="5"/>
        <v>8548929.412370933</v>
      </c>
    </row>
    <row r="26" spans="3:17" ht="12.75">
      <c r="C26" s="79">
        <f t="shared" si="6"/>
        <v>21</v>
      </c>
      <c r="D26" s="80">
        <f t="shared" si="7"/>
        <v>8548929.412370933</v>
      </c>
      <c r="E26" s="80"/>
      <c r="F26" s="80">
        <f t="shared" si="8"/>
        <v>99485.90313274493</v>
      </c>
      <c r="G26" s="80">
        <f t="shared" si="0"/>
        <v>74803.13235824565</v>
      </c>
      <c r="H26" s="80">
        <f t="shared" si="1"/>
        <v>24682.77077449928</v>
      </c>
      <c r="I26" s="72">
        <f t="shared" si="2"/>
        <v>8524246.641596435</v>
      </c>
      <c r="K26" s="79">
        <f t="shared" si="9"/>
        <v>21</v>
      </c>
      <c r="L26" s="80">
        <f t="shared" si="10"/>
        <v>8548929.412370933</v>
      </c>
      <c r="M26" s="80"/>
      <c r="N26" s="80">
        <f t="shared" si="11"/>
        <v>99485.90313274493</v>
      </c>
      <c r="O26" s="80">
        <f t="shared" si="3"/>
        <v>74803.13235824565</v>
      </c>
      <c r="P26" s="80">
        <f t="shared" si="4"/>
        <v>24682.77077449928</v>
      </c>
      <c r="Q26" s="72">
        <f t="shared" si="5"/>
        <v>8524246.641596435</v>
      </c>
    </row>
    <row r="27" spans="3:17" ht="12.75">
      <c r="C27" s="79">
        <f t="shared" si="6"/>
        <v>22</v>
      </c>
      <c r="D27" s="80">
        <f t="shared" si="7"/>
        <v>8524246.641596435</v>
      </c>
      <c r="E27" s="80"/>
      <c r="F27" s="80">
        <f t="shared" si="8"/>
        <v>99485.90313274493</v>
      </c>
      <c r="G27" s="80">
        <f t="shared" si="0"/>
        <v>74587.1581139688</v>
      </c>
      <c r="H27" s="80">
        <f t="shared" si="1"/>
        <v>24898.745018776128</v>
      </c>
      <c r="I27" s="72">
        <f t="shared" si="2"/>
        <v>8499347.896577658</v>
      </c>
      <c r="K27" s="79">
        <f t="shared" si="9"/>
        <v>22</v>
      </c>
      <c r="L27" s="80">
        <f t="shared" si="10"/>
        <v>8524246.641596435</v>
      </c>
      <c r="M27" s="80"/>
      <c r="N27" s="80">
        <f t="shared" si="11"/>
        <v>99485.90313274493</v>
      </c>
      <c r="O27" s="80">
        <f t="shared" si="3"/>
        <v>74587.1581139688</v>
      </c>
      <c r="P27" s="80">
        <f t="shared" si="4"/>
        <v>24898.745018776128</v>
      </c>
      <c r="Q27" s="72">
        <f t="shared" si="5"/>
        <v>8499347.896577658</v>
      </c>
    </row>
    <row r="28" spans="3:17" ht="12.75">
      <c r="C28" s="79">
        <f t="shared" si="6"/>
        <v>23</v>
      </c>
      <c r="D28" s="80">
        <f t="shared" si="7"/>
        <v>8499347.896577658</v>
      </c>
      <c r="E28" s="80"/>
      <c r="F28" s="80">
        <f t="shared" si="8"/>
        <v>99485.90313274493</v>
      </c>
      <c r="G28" s="80">
        <f t="shared" si="0"/>
        <v>74369.2940950545</v>
      </c>
      <c r="H28" s="80">
        <f t="shared" si="1"/>
        <v>25116.609037690432</v>
      </c>
      <c r="I28" s="72">
        <f t="shared" si="2"/>
        <v>8474231.287539968</v>
      </c>
      <c r="K28" s="79">
        <f t="shared" si="9"/>
        <v>23</v>
      </c>
      <c r="L28" s="80">
        <f t="shared" si="10"/>
        <v>8499347.896577658</v>
      </c>
      <c r="M28" s="80"/>
      <c r="N28" s="80">
        <f t="shared" si="11"/>
        <v>99485.90313274493</v>
      </c>
      <c r="O28" s="80">
        <f t="shared" si="3"/>
        <v>74369.2940950545</v>
      </c>
      <c r="P28" s="80">
        <f t="shared" si="4"/>
        <v>25116.609037690432</v>
      </c>
      <c r="Q28" s="72">
        <f t="shared" si="5"/>
        <v>8474231.287539968</v>
      </c>
    </row>
    <row r="29" spans="3:17" ht="12.75">
      <c r="C29" s="79">
        <f t="shared" si="6"/>
        <v>24</v>
      </c>
      <c r="D29" s="80">
        <f t="shared" si="7"/>
        <v>8474231.287539968</v>
      </c>
      <c r="E29" s="80"/>
      <c r="F29" s="80">
        <f t="shared" si="8"/>
        <v>99485.90313274493</v>
      </c>
      <c r="G29" s="80">
        <f t="shared" si="0"/>
        <v>74149.52376597472</v>
      </c>
      <c r="H29" s="80">
        <f t="shared" si="1"/>
        <v>25336.379366770212</v>
      </c>
      <c r="I29" s="72">
        <f t="shared" si="2"/>
        <v>8448894.908173198</v>
      </c>
      <c r="K29" s="79">
        <f t="shared" si="9"/>
        <v>24</v>
      </c>
      <c r="L29" s="80">
        <f t="shared" si="10"/>
        <v>8474231.287539968</v>
      </c>
      <c r="M29" s="80"/>
      <c r="N29" s="80">
        <f t="shared" si="11"/>
        <v>99485.90313274493</v>
      </c>
      <c r="O29" s="80">
        <f t="shared" si="3"/>
        <v>74149.52376597472</v>
      </c>
      <c r="P29" s="80">
        <f t="shared" si="4"/>
        <v>25336.379366770212</v>
      </c>
      <c r="Q29" s="72">
        <f t="shared" si="5"/>
        <v>8448894.908173198</v>
      </c>
    </row>
    <row r="30" spans="3:17" ht="12.75">
      <c r="C30" s="79">
        <f t="shared" si="6"/>
        <v>25</v>
      </c>
      <c r="D30" s="80">
        <f t="shared" si="7"/>
        <v>8448894.908173198</v>
      </c>
      <c r="E30" s="80"/>
      <c r="F30" s="80">
        <f t="shared" si="8"/>
        <v>99485.90313274493</v>
      </c>
      <c r="G30" s="80">
        <f t="shared" si="0"/>
        <v>73927.83044651548</v>
      </c>
      <c r="H30" s="80">
        <f t="shared" si="1"/>
        <v>25558.072686229454</v>
      </c>
      <c r="I30" s="72">
        <f t="shared" si="2"/>
        <v>8423336.835486969</v>
      </c>
      <c r="K30" s="79">
        <f t="shared" si="9"/>
        <v>25</v>
      </c>
      <c r="L30" s="80">
        <f t="shared" si="10"/>
        <v>8448894.908173198</v>
      </c>
      <c r="M30" s="80"/>
      <c r="N30" s="80">
        <f t="shared" si="11"/>
        <v>99485.90313274493</v>
      </c>
      <c r="O30" s="80">
        <f t="shared" si="3"/>
        <v>73927.83044651548</v>
      </c>
      <c r="P30" s="80">
        <f t="shared" si="4"/>
        <v>25558.072686229454</v>
      </c>
      <c r="Q30" s="72">
        <f t="shared" si="5"/>
        <v>8423336.835486969</v>
      </c>
    </row>
    <row r="31" spans="3:17" ht="12.75">
      <c r="C31" s="79">
        <f t="shared" si="6"/>
        <v>26</v>
      </c>
      <c r="D31" s="80">
        <f t="shared" si="7"/>
        <v>8423336.835486969</v>
      </c>
      <c r="E31" s="80"/>
      <c r="F31" s="80">
        <f t="shared" si="8"/>
        <v>99485.90313274493</v>
      </c>
      <c r="G31" s="80">
        <f t="shared" si="0"/>
        <v>73704.19731051098</v>
      </c>
      <c r="H31" s="80">
        <f t="shared" si="1"/>
        <v>25781.705822233955</v>
      </c>
      <c r="I31" s="72">
        <f t="shared" si="2"/>
        <v>8397555.129664736</v>
      </c>
      <c r="K31" s="79">
        <f t="shared" si="9"/>
        <v>26</v>
      </c>
      <c r="L31" s="80">
        <f t="shared" si="10"/>
        <v>8423336.835486969</v>
      </c>
      <c r="M31" s="80"/>
      <c r="N31" s="80">
        <f t="shared" si="11"/>
        <v>99485.90313274493</v>
      </c>
      <c r="O31" s="80">
        <f t="shared" si="3"/>
        <v>73704.19731051098</v>
      </c>
      <c r="P31" s="80">
        <f t="shared" si="4"/>
        <v>25781.705822233955</v>
      </c>
      <c r="Q31" s="72">
        <f t="shared" si="5"/>
        <v>8397555.129664736</v>
      </c>
    </row>
    <row r="32" spans="3:17" ht="12.75">
      <c r="C32" s="79">
        <f t="shared" si="6"/>
        <v>27</v>
      </c>
      <c r="D32" s="80">
        <f t="shared" si="7"/>
        <v>8397555.129664736</v>
      </c>
      <c r="E32" s="80"/>
      <c r="F32" s="80">
        <f t="shared" si="8"/>
        <v>99485.90313274493</v>
      </c>
      <c r="G32" s="80">
        <f t="shared" si="0"/>
        <v>73478.60738456644</v>
      </c>
      <c r="H32" s="80">
        <f t="shared" si="1"/>
        <v>26007.295748178498</v>
      </c>
      <c r="I32" s="72">
        <f t="shared" si="2"/>
        <v>8371547.833916557</v>
      </c>
      <c r="K32" s="79">
        <f t="shared" si="9"/>
        <v>27</v>
      </c>
      <c r="L32" s="80">
        <f t="shared" si="10"/>
        <v>8397555.129664736</v>
      </c>
      <c r="M32" s="80"/>
      <c r="N32" s="80">
        <f t="shared" si="11"/>
        <v>99485.90313274493</v>
      </c>
      <c r="O32" s="80">
        <f t="shared" si="3"/>
        <v>73478.60738456644</v>
      </c>
      <c r="P32" s="80">
        <f t="shared" si="4"/>
        <v>26007.295748178498</v>
      </c>
      <c r="Q32" s="72">
        <f t="shared" si="5"/>
        <v>8371547.833916557</v>
      </c>
    </row>
    <row r="33" spans="3:17" ht="12.75">
      <c r="C33" s="79">
        <f t="shared" si="6"/>
        <v>28</v>
      </c>
      <c r="D33" s="80">
        <f t="shared" si="7"/>
        <v>8371547.833916557</v>
      </c>
      <c r="E33" s="80"/>
      <c r="F33" s="80">
        <f t="shared" si="8"/>
        <v>99485.90313274493</v>
      </c>
      <c r="G33" s="80">
        <f t="shared" si="0"/>
        <v>73251.04354676987</v>
      </c>
      <c r="H33" s="80">
        <f t="shared" si="1"/>
        <v>26234.859585975064</v>
      </c>
      <c r="I33" s="72">
        <f t="shared" si="2"/>
        <v>8345312.974330582</v>
      </c>
      <c r="K33" s="79">
        <f t="shared" si="9"/>
        <v>28</v>
      </c>
      <c r="L33" s="80">
        <f t="shared" si="10"/>
        <v>8371547.833916557</v>
      </c>
      <c r="M33" s="80"/>
      <c r="N33" s="80">
        <f t="shared" si="11"/>
        <v>99485.90313274493</v>
      </c>
      <c r="O33" s="80">
        <f t="shared" si="3"/>
        <v>73251.04354676987</v>
      </c>
      <c r="P33" s="80">
        <f t="shared" si="4"/>
        <v>26234.859585975064</v>
      </c>
      <c r="Q33" s="72">
        <f t="shared" si="5"/>
        <v>8345312.974330582</v>
      </c>
    </row>
    <row r="34" spans="3:17" ht="12.75">
      <c r="C34" s="79">
        <f t="shared" si="6"/>
        <v>29</v>
      </c>
      <c r="D34" s="80">
        <f t="shared" si="7"/>
        <v>8345312.974330582</v>
      </c>
      <c r="E34" s="80"/>
      <c r="F34" s="80">
        <f t="shared" si="8"/>
        <v>99485.90313274493</v>
      </c>
      <c r="G34" s="80">
        <f t="shared" si="0"/>
        <v>73021.48852539259</v>
      </c>
      <c r="H34" s="80">
        <f t="shared" si="1"/>
        <v>26464.414607352344</v>
      </c>
      <c r="I34" s="72">
        <f t="shared" si="2"/>
        <v>8318848.559723229</v>
      </c>
      <c r="K34" s="79">
        <f t="shared" si="9"/>
        <v>29</v>
      </c>
      <c r="L34" s="80">
        <f t="shared" si="10"/>
        <v>8345312.974330582</v>
      </c>
      <c r="M34" s="80"/>
      <c r="N34" s="80">
        <f t="shared" si="11"/>
        <v>99485.90313274493</v>
      </c>
      <c r="O34" s="80">
        <f t="shared" si="3"/>
        <v>73021.48852539259</v>
      </c>
      <c r="P34" s="80">
        <f t="shared" si="4"/>
        <v>26464.414607352344</v>
      </c>
      <c r="Q34" s="72">
        <f t="shared" si="5"/>
        <v>8318848.559723229</v>
      </c>
    </row>
    <row r="35" spans="3:17" ht="12.75">
      <c r="C35" s="79">
        <f t="shared" si="6"/>
        <v>30</v>
      </c>
      <c r="D35" s="80">
        <f t="shared" si="7"/>
        <v>8318848.559723229</v>
      </c>
      <c r="E35" s="80"/>
      <c r="F35" s="80">
        <f t="shared" si="8"/>
        <v>99485.90313274493</v>
      </c>
      <c r="G35" s="80">
        <f t="shared" si="0"/>
        <v>72789.92489757825</v>
      </c>
      <c r="H35" s="80">
        <f t="shared" si="1"/>
        <v>26695.97823516668</v>
      </c>
      <c r="I35" s="72">
        <f t="shared" si="2"/>
        <v>8292152.581488063</v>
      </c>
      <c r="K35" s="79">
        <f t="shared" si="9"/>
        <v>30</v>
      </c>
      <c r="L35" s="80">
        <f t="shared" si="10"/>
        <v>8318848.559723229</v>
      </c>
      <c r="M35" s="80"/>
      <c r="N35" s="80">
        <f t="shared" si="11"/>
        <v>99485.90313274493</v>
      </c>
      <c r="O35" s="80">
        <f t="shared" si="3"/>
        <v>72789.92489757825</v>
      </c>
      <c r="P35" s="80">
        <f t="shared" si="4"/>
        <v>26695.97823516668</v>
      </c>
      <c r="Q35" s="72">
        <f t="shared" si="5"/>
        <v>8292152.581488063</v>
      </c>
    </row>
    <row r="36" spans="3:17" ht="12.75">
      <c r="C36" s="79">
        <f t="shared" si="6"/>
        <v>31</v>
      </c>
      <c r="D36" s="80">
        <f t="shared" si="7"/>
        <v>8292152.581488063</v>
      </c>
      <c r="E36" s="80"/>
      <c r="F36" s="80">
        <f t="shared" si="8"/>
        <v>99485.90313274493</v>
      </c>
      <c r="G36" s="80">
        <f t="shared" si="0"/>
        <v>72556.33508802055</v>
      </c>
      <c r="H36" s="80">
        <f t="shared" si="1"/>
        <v>26929.56804472438</v>
      </c>
      <c r="I36" s="72">
        <f t="shared" si="2"/>
        <v>8265223.013443339</v>
      </c>
      <c r="K36" s="79">
        <f t="shared" si="9"/>
        <v>31</v>
      </c>
      <c r="L36" s="80">
        <f t="shared" si="10"/>
        <v>8292152.581488063</v>
      </c>
      <c r="M36" s="80"/>
      <c r="N36" s="80">
        <f t="shared" si="11"/>
        <v>99485.90313274493</v>
      </c>
      <c r="O36" s="80">
        <f t="shared" si="3"/>
        <v>72556.33508802055</v>
      </c>
      <c r="P36" s="80">
        <f t="shared" si="4"/>
        <v>26929.56804472438</v>
      </c>
      <c r="Q36" s="72">
        <f t="shared" si="5"/>
        <v>8265223.013443339</v>
      </c>
    </row>
    <row r="37" spans="3:17" ht="12.75">
      <c r="C37" s="79">
        <f t="shared" si="6"/>
        <v>32</v>
      </c>
      <c r="D37" s="80">
        <f t="shared" si="7"/>
        <v>8265223.013443339</v>
      </c>
      <c r="E37" s="80"/>
      <c r="F37" s="80">
        <f t="shared" si="8"/>
        <v>99485.90313274493</v>
      </c>
      <c r="G37" s="80">
        <f t="shared" si="0"/>
        <v>72320.70136762921</v>
      </c>
      <c r="H37" s="80">
        <f t="shared" si="1"/>
        <v>27165.201765115722</v>
      </c>
      <c r="I37" s="72">
        <f t="shared" si="2"/>
        <v>8238057.811678223</v>
      </c>
      <c r="K37" s="79">
        <f t="shared" si="9"/>
        <v>32</v>
      </c>
      <c r="L37" s="80">
        <f t="shared" si="10"/>
        <v>8265223.013443339</v>
      </c>
      <c r="M37" s="80"/>
      <c r="N37" s="80">
        <f t="shared" si="11"/>
        <v>99485.90313274493</v>
      </c>
      <c r="O37" s="80">
        <f t="shared" si="3"/>
        <v>72320.70136762921</v>
      </c>
      <c r="P37" s="80">
        <f t="shared" si="4"/>
        <v>27165.201765115722</v>
      </c>
      <c r="Q37" s="72">
        <f t="shared" si="5"/>
        <v>8238057.811678223</v>
      </c>
    </row>
    <row r="38" spans="3:17" ht="12.75">
      <c r="C38" s="79">
        <f t="shared" si="6"/>
        <v>33</v>
      </c>
      <c r="D38" s="80">
        <f t="shared" si="7"/>
        <v>8238057.811678223</v>
      </c>
      <c r="E38" s="80"/>
      <c r="F38" s="80">
        <f t="shared" si="8"/>
        <v>99485.90313274493</v>
      </c>
      <c r="G38" s="80">
        <f t="shared" si="0"/>
        <v>72083.00585218445</v>
      </c>
      <c r="H38" s="80">
        <f t="shared" si="1"/>
        <v>27402.897280560486</v>
      </c>
      <c r="I38" s="72">
        <f t="shared" si="2"/>
        <v>8210654.9143976625</v>
      </c>
      <c r="K38" s="79">
        <f t="shared" si="9"/>
        <v>33</v>
      </c>
      <c r="L38" s="80">
        <f t="shared" si="10"/>
        <v>8238057.811678223</v>
      </c>
      <c r="M38" s="80"/>
      <c r="N38" s="80">
        <f t="shared" si="11"/>
        <v>99485.90313274493</v>
      </c>
      <c r="O38" s="80">
        <f t="shared" si="3"/>
        <v>72083.00585218445</v>
      </c>
      <c r="P38" s="80">
        <f t="shared" si="4"/>
        <v>27402.897280560486</v>
      </c>
      <c r="Q38" s="72">
        <f t="shared" si="5"/>
        <v>8210654.9143976625</v>
      </c>
    </row>
    <row r="39" spans="3:17" ht="12.75">
      <c r="C39" s="79">
        <f t="shared" si="6"/>
        <v>34</v>
      </c>
      <c r="D39" s="80">
        <f t="shared" si="7"/>
        <v>8210654.9143976625</v>
      </c>
      <c r="E39" s="80"/>
      <c r="F39" s="80">
        <f t="shared" si="8"/>
        <v>99485.90313274493</v>
      </c>
      <c r="G39" s="80">
        <f t="shared" si="0"/>
        <v>71843.23050097954</v>
      </c>
      <c r="H39" s="80">
        <f t="shared" si="1"/>
        <v>27642.672631765396</v>
      </c>
      <c r="I39" s="72">
        <f t="shared" si="2"/>
        <v>8183012.241765897</v>
      </c>
      <c r="K39" s="79">
        <f t="shared" si="9"/>
        <v>34</v>
      </c>
      <c r="L39" s="80">
        <f t="shared" si="10"/>
        <v>8210654.9143976625</v>
      </c>
      <c r="M39" s="80"/>
      <c r="N39" s="80">
        <f t="shared" si="11"/>
        <v>99485.90313274493</v>
      </c>
      <c r="O39" s="80">
        <f t="shared" si="3"/>
        <v>71843.23050097954</v>
      </c>
      <c r="P39" s="80">
        <f t="shared" si="4"/>
        <v>27642.672631765396</v>
      </c>
      <c r="Q39" s="72">
        <f t="shared" si="5"/>
        <v>8183012.241765897</v>
      </c>
    </row>
    <row r="40" spans="3:17" ht="12.75">
      <c r="C40" s="79">
        <f t="shared" si="6"/>
        <v>35</v>
      </c>
      <c r="D40" s="80">
        <f t="shared" si="7"/>
        <v>8183012.241765897</v>
      </c>
      <c r="E40" s="80"/>
      <c r="F40" s="80">
        <f t="shared" si="8"/>
        <v>99485.90313274493</v>
      </c>
      <c r="G40" s="80">
        <f t="shared" si="0"/>
        <v>71601.3571154516</v>
      </c>
      <c r="H40" s="80">
        <f t="shared" si="1"/>
        <v>27884.546017293338</v>
      </c>
      <c r="I40" s="72">
        <f t="shared" si="2"/>
        <v>8155127.695748604</v>
      </c>
      <c r="K40" s="79">
        <f t="shared" si="9"/>
        <v>35</v>
      </c>
      <c r="L40" s="80">
        <f t="shared" si="10"/>
        <v>8183012.241765897</v>
      </c>
      <c r="M40" s="80"/>
      <c r="N40" s="80">
        <f t="shared" si="11"/>
        <v>99485.90313274493</v>
      </c>
      <c r="O40" s="80">
        <f t="shared" si="3"/>
        <v>71601.3571154516</v>
      </c>
      <c r="P40" s="80">
        <f t="shared" si="4"/>
        <v>27884.546017293338</v>
      </c>
      <c r="Q40" s="72">
        <f t="shared" si="5"/>
        <v>8155127.695748604</v>
      </c>
    </row>
    <row r="41" spans="3:17" ht="12.75">
      <c r="C41" s="79">
        <f t="shared" si="6"/>
        <v>36</v>
      </c>
      <c r="D41" s="80">
        <f t="shared" si="7"/>
        <v>8155127.695748604</v>
      </c>
      <c r="E41" s="80"/>
      <c r="F41" s="80">
        <f t="shared" si="8"/>
        <v>99485.90313274493</v>
      </c>
      <c r="G41" s="80">
        <f t="shared" si="0"/>
        <v>71357.36733780029</v>
      </c>
      <c r="H41" s="80">
        <f t="shared" si="1"/>
        <v>28128.535794944648</v>
      </c>
      <c r="I41" s="72">
        <f t="shared" si="2"/>
        <v>8126999.159953659</v>
      </c>
      <c r="K41" s="79">
        <f t="shared" si="9"/>
        <v>36</v>
      </c>
      <c r="L41" s="80">
        <f t="shared" si="10"/>
        <v>8155127.695748604</v>
      </c>
      <c r="M41" s="80"/>
      <c r="N41" s="80">
        <f t="shared" si="11"/>
        <v>99485.90313274493</v>
      </c>
      <c r="O41" s="80">
        <f t="shared" si="3"/>
        <v>71357.36733780029</v>
      </c>
      <c r="P41" s="80">
        <f t="shared" si="4"/>
        <v>28128.535794944648</v>
      </c>
      <c r="Q41" s="72">
        <f t="shared" si="5"/>
        <v>8126999.159953659</v>
      </c>
    </row>
    <row r="42" spans="3:17" ht="12.75">
      <c r="C42" s="79">
        <f t="shared" si="6"/>
        <v>37</v>
      </c>
      <c r="D42" s="80">
        <f t="shared" si="7"/>
        <v>8126999.159953659</v>
      </c>
      <c r="E42" s="80"/>
      <c r="F42" s="80">
        <f t="shared" si="8"/>
        <v>99485.90313274493</v>
      </c>
      <c r="G42" s="80">
        <f t="shared" si="0"/>
        <v>71111.24264959451</v>
      </c>
      <c r="H42" s="80">
        <f t="shared" si="1"/>
        <v>28374.660483150423</v>
      </c>
      <c r="I42" s="72">
        <f t="shared" si="2"/>
        <v>8098624.499470509</v>
      </c>
      <c r="K42" s="79">
        <f t="shared" si="9"/>
        <v>37</v>
      </c>
      <c r="L42" s="80">
        <f t="shared" si="10"/>
        <v>8126999.159953659</v>
      </c>
      <c r="M42" s="80"/>
      <c r="N42" s="80">
        <f t="shared" si="11"/>
        <v>99485.90313274493</v>
      </c>
      <c r="O42" s="80">
        <f t="shared" si="3"/>
        <v>71111.24264959451</v>
      </c>
      <c r="P42" s="80">
        <f t="shared" si="4"/>
        <v>28374.660483150423</v>
      </c>
      <c r="Q42" s="72">
        <f t="shared" si="5"/>
        <v>8098624.499470509</v>
      </c>
    </row>
    <row r="43" spans="3:17" ht="12.75">
      <c r="C43" s="79">
        <f t="shared" si="6"/>
        <v>38</v>
      </c>
      <c r="D43" s="80">
        <f t="shared" si="7"/>
        <v>8098624.499470509</v>
      </c>
      <c r="E43" s="80"/>
      <c r="F43" s="80">
        <f t="shared" si="8"/>
        <v>99485.90313274493</v>
      </c>
      <c r="G43" s="80">
        <f t="shared" si="0"/>
        <v>70862.96437036696</v>
      </c>
      <c r="H43" s="80">
        <f t="shared" si="1"/>
        <v>28622.938762377977</v>
      </c>
      <c r="I43" s="72">
        <f t="shared" si="2"/>
        <v>8070001.560708131</v>
      </c>
      <c r="K43" s="79">
        <f t="shared" si="9"/>
        <v>38</v>
      </c>
      <c r="L43" s="80">
        <f t="shared" si="10"/>
        <v>8098624.499470509</v>
      </c>
      <c r="M43" s="80"/>
      <c r="N43" s="80">
        <f t="shared" si="11"/>
        <v>99485.90313274493</v>
      </c>
      <c r="O43" s="80">
        <f t="shared" si="3"/>
        <v>70862.96437036696</v>
      </c>
      <c r="P43" s="80">
        <f t="shared" si="4"/>
        <v>28622.938762377977</v>
      </c>
      <c r="Q43" s="72">
        <f t="shared" si="5"/>
        <v>8070001.560708131</v>
      </c>
    </row>
    <row r="44" spans="3:17" ht="12.75">
      <c r="C44" s="79">
        <f t="shared" si="6"/>
        <v>39</v>
      </c>
      <c r="D44" s="80">
        <f t="shared" si="7"/>
        <v>8070001.560708131</v>
      </c>
      <c r="E44" s="80"/>
      <c r="F44" s="80">
        <f t="shared" si="8"/>
        <v>99485.90313274493</v>
      </c>
      <c r="G44" s="80">
        <f t="shared" si="0"/>
        <v>70612.51365619614</v>
      </c>
      <c r="H44" s="80">
        <f t="shared" si="1"/>
        <v>28873.389476548793</v>
      </c>
      <c r="I44" s="72">
        <f t="shared" si="2"/>
        <v>8041128.171231582</v>
      </c>
      <c r="K44" s="79">
        <f t="shared" si="9"/>
        <v>39</v>
      </c>
      <c r="L44" s="80">
        <f t="shared" si="10"/>
        <v>8070001.560708131</v>
      </c>
      <c r="M44" s="80"/>
      <c r="N44" s="80">
        <f t="shared" si="11"/>
        <v>99485.90313274493</v>
      </c>
      <c r="O44" s="80">
        <f t="shared" si="3"/>
        <v>70612.51365619614</v>
      </c>
      <c r="P44" s="80">
        <f t="shared" si="4"/>
        <v>28873.389476548793</v>
      </c>
      <c r="Q44" s="72">
        <f t="shared" si="5"/>
        <v>8041128.171231582</v>
      </c>
    </row>
    <row r="45" spans="3:17" ht="12.75">
      <c r="C45" s="79">
        <f t="shared" si="6"/>
        <v>40</v>
      </c>
      <c r="D45" s="80">
        <f t="shared" si="7"/>
        <v>8041128.171231582</v>
      </c>
      <c r="E45" s="80"/>
      <c r="F45" s="80">
        <f t="shared" si="8"/>
        <v>99485.90313274493</v>
      </c>
      <c r="G45" s="80">
        <f t="shared" si="0"/>
        <v>70359.87149827633</v>
      </c>
      <c r="H45" s="80">
        <f t="shared" si="1"/>
        <v>29126.0316344686</v>
      </c>
      <c r="I45" s="72">
        <f t="shared" si="2"/>
        <v>8012002.139597113</v>
      </c>
      <c r="K45" s="79">
        <f t="shared" si="9"/>
        <v>40</v>
      </c>
      <c r="L45" s="80">
        <f t="shared" si="10"/>
        <v>8041128.171231582</v>
      </c>
      <c r="M45" s="80"/>
      <c r="N45" s="80">
        <f t="shared" si="11"/>
        <v>99485.90313274493</v>
      </c>
      <c r="O45" s="80">
        <f t="shared" si="3"/>
        <v>70359.87149827633</v>
      </c>
      <c r="P45" s="80">
        <f t="shared" si="4"/>
        <v>29126.0316344686</v>
      </c>
      <c r="Q45" s="72">
        <f t="shared" si="5"/>
        <v>8012002.139597113</v>
      </c>
    </row>
    <row r="46" spans="3:17" ht="12.75">
      <c r="C46" s="79">
        <f t="shared" si="6"/>
        <v>41</v>
      </c>
      <c r="D46" s="80">
        <f t="shared" si="7"/>
        <v>8012002.139597113</v>
      </c>
      <c r="E46" s="80"/>
      <c r="F46" s="80">
        <f t="shared" si="8"/>
        <v>99485.90313274493</v>
      </c>
      <c r="G46" s="80">
        <f t="shared" si="0"/>
        <v>70105.01872147474</v>
      </c>
      <c r="H46" s="80">
        <f t="shared" si="1"/>
        <v>29380.88441127019</v>
      </c>
      <c r="I46" s="72">
        <f t="shared" si="2"/>
        <v>7982621.255185843</v>
      </c>
      <c r="K46" s="79">
        <f t="shared" si="9"/>
        <v>41</v>
      </c>
      <c r="L46" s="80">
        <f t="shared" si="10"/>
        <v>8012002.139597113</v>
      </c>
      <c r="M46" s="80"/>
      <c r="N46" s="80">
        <f t="shared" si="11"/>
        <v>99485.90313274493</v>
      </c>
      <c r="O46" s="80">
        <f t="shared" si="3"/>
        <v>70105.01872147474</v>
      </c>
      <c r="P46" s="80">
        <f t="shared" si="4"/>
        <v>29380.88441127019</v>
      </c>
      <c r="Q46" s="72">
        <f t="shared" si="5"/>
        <v>7982621.255185843</v>
      </c>
    </row>
    <row r="47" spans="3:17" ht="12.75">
      <c r="C47" s="79">
        <f t="shared" si="6"/>
        <v>42</v>
      </c>
      <c r="D47" s="80">
        <f t="shared" si="7"/>
        <v>7982621.255185843</v>
      </c>
      <c r="E47" s="80"/>
      <c r="F47" s="80">
        <f t="shared" si="8"/>
        <v>99485.90313274493</v>
      </c>
      <c r="G47" s="80">
        <f t="shared" si="0"/>
        <v>69847.93598287612</v>
      </c>
      <c r="H47" s="80">
        <f t="shared" si="1"/>
        <v>29637.96714986881</v>
      </c>
      <c r="I47" s="72">
        <f t="shared" si="2"/>
        <v>7952983.288035975</v>
      </c>
      <c r="K47" s="79">
        <f t="shared" si="9"/>
        <v>42</v>
      </c>
      <c r="L47" s="80">
        <f t="shared" si="10"/>
        <v>7982621.255185843</v>
      </c>
      <c r="M47" s="80"/>
      <c r="N47" s="80">
        <f t="shared" si="11"/>
        <v>99485.90313274493</v>
      </c>
      <c r="O47" s="80">
        <f t="shared" si="3"/>
        <v>69847.93598287612</v>
      </c>
      <c r="P47" s="80">
        <f t="shared" si="4"/>
        <v>29637.96714986881</v>
      </c>
      <c r="Q47" s="72">
        <f t="shared" si="5"/>
        <v>7952983.288035975</v>
      </c>
    </row>
    <row r="48" spans="3:17" ht="12.75">
      <c r="C48" s="79">
        <f t="shared" si="6"/>
        <v>43</v>
      </c>
      <c r="D48" s="80">
        <f t="shared" si="7"/>
        <v>7952983.288035975</v>
      </c>
      <c r="E48" s="80"/>
      <c r="F48" s="80">
        <f t="shared" si="8"/>
        <v>99485.90313274493</v>
      </c>
      <c r="G48" s="80">
        <f t="shared" si="0"/>
        <v>69588.60377031477</v>
      </c>
      <c r="H48" s="80">
        <f t="shared" si="1"/>
        <v>29897.29936243016</v>
      </c>
      <c r="I48" s="72">
        <f t="shared" si="2"/>
        <v>7923085.9886735445</v>
      </c>
      <c r="K48" s="79">
        <f t="shared" si="9"/>
        <v>43</v>
      </c>
      <c r="L48" s="80">
        <f t="shared" si="10"/>
        <v>7952983.288035975</v>
      </c>
      <c r="M48" s="80"/>
      <c r="N48" s="80">
        <f t="shared" si="11"/>
        <v>99485.90313274493</v>
      </c>
      <c r="O48" s="80">
        <f t="shared" si="3"/>
        <v>69588.60377031477</v>
      </c>
      <c r="P48" s="80">
        <f t="shared" si="4"/>
        <v>29897.29936243016</v>
      </c>
      <c r="Q48" s="72">
        <f t="shared" si="5"/>
        <v>7923085.9886735445</v>
      </c>
    </row>
    <row r="49" spans="3:17" ht="12.75">
      <c r="C49" s="79">
        <f t="shared" si="6"/>
        <v>44</v>
      </c>
      <c r="D49" s="80">
        <f t="shared" si="7"/>
        <v>7923085.9886735445</v>
      </c>
      <c r="E49" s="80"/>
      <c r="F49" s="80">
        <f t="shared" si="8"/>
        <v>99485.90313274493</v>
      </c>
      <c r="G49" s="80">
        <f t="shared" si="0"/>
        <v>69327.00240089351</v>
      </c>
      <c r="H49" s="80">
        <f t="shared" si="1"/>
        <v>30158.90073185142</v>
      </c>
      <c r="I49" s="72">
        <f t="shared" si="2"/>
        <v>7892927.087941693</v>
      </c>
      <c r="K49" s="79">
        <f t="shared" si="9"/>
        <v>44</v>
      </c>
      <c r="L49" s="80">
        <f t="shared" si="10"/>
        <v>7923085.9886735445</v>
      </c>
      <c r="M49" s="80"/>
      <c r="N49" s="80">
        <f t="shared" si="11"/>
        <v>99485.90313274493</v>
      </c>
      <c r="O49" s="80">
        <f t="shared" si="3"/>
        <v>69327.00240089351</v>
      </c>
      <c r="P49" s="80">
        <f t="shared" si="4"/>
        <v>30158.90073185142</v>
      </c>
      <c r="Q49" s="72">
        <f t="shared" si="5"/>
        <v>7892927.087941693</v>
      </c>
    </row>
    <row r="50" spans="3:17" ht="12.75">
      <c r="C50" s="79">
        <f t="shared" si="6"/>
        <v>45</v>
      </c>
      <c r="D50" s="80">
        <f t="shared" si="7"/>
        <v>7892927.087941693</v>
      </c>
      <c r="E50" s="80"/>
      <c r="F50" s="80">
        <f t="shared" si="8"/>
        <v>99485.90313274493</v>
      </c>
      <c r="G50" s="80">
        <f t="shared" si="0"/>
        <v>69063.11201948981</v>
      </c>
      <c r="H50" s="80">
        <f t="shared" si="1"/>
        <v>30422.791113255123</v>
      </c>
      <c r="I50" s="72">
        <f t="shared" si="2"/>
        <v>7862504.296828438</v>
      </c>
      <c r="K50" s="79">
        <f t="shared" si="9"/>
        <v>45</v>
      </c>
      <c r="L50" s="80">
        <f t="shared" si="10"/>
        <v>7892927.087941693</v>
      </c>
      <c r="M50" s="80"/>
      <c r="N50" s="80">
        <f t="shared" si="11"/>
        <v>99485.90313274493</v>
      </c>
      <c r="O50" s="80">
        <f t="shared" si="3"/>
        <v>69063.11201948981</v>
      </c>
      <c r="P50" s="80">
        <f t="shared" si="4"/>
        <v>30422.791113255123</v>
      </c>
      <c r="Q50" s="72">
        <f t="shared" si="5"/>
        <v>7862504.296828438</v>
      </c>
    </row>
    <row r="51" spans="3:17" ht="12.75">
      <c r="C51" s="79">
        <f t="shared" si="6"/>
        <v>46</v>
      </c>
      <c r="D51" s="80">
        <f t="shared" si="7"/>
        <v>7862504.296828438</v>
      </c>
      <c r="E51" s="80"/>
      <c r="F51" s="80">
        <f t="shared" si="8"/>
        <v>99485.90313274493</v>
      </c>
      <c r="G51" s="80">
        <f t="shared" si="0"/>
        <v>68796.91259724883</v>
      </c>
      <c r="H51" s="80">
        <f t="shared" si="1"/>
        <v>30688.99053549611</v>
      </c>
      <c r="I51" s="72">
        <f t="shared" si="2"/>
        <v>7831815.306292942</v>
      </c>
      <c r="K51" s="79">
        <f t="shared" si="9"/>
        <v>46</v>
      </c>
      <c r="L51" s="80">
        <f t="shared" si="10"/>
        <v>7862504.296828438</v>
      </c>
      <c r="M51" s="80"/>
      <c r="N51" s="80">
        <f t="shared" si="11"/>
        <v>99485.90313274493</v>
      </c>
      <c r="O51" s="80">
        <f t="shared" si="3"/>
        <v>68796.91259724883</v>
      </c>
      <c r="P51" s="80">
        <f t="shared" si="4"/>
        <v>30688.99053549611</v>
      </c>
      <c r="Q51" s="72">
        <f t="shared" si="5"/>
        <v>7831815.306292942</v>
      </c>
    </row>
    <row r="52" spans="3:17" ht="12.75">
      <c r="C52" s="79">
        <f t="shared" si="6"/>
        <v>47</v>
      </c>
      <c r="D52" s="80">
        <f t="shared" si="7"/>
        <v>7831815.306292942</v>
      </c>
      <c r="E52" s="80"/>
      <c r="F52" s="80">
        <f t="shared" si="8"/>
        <v>99485.90313274493</v>
      </c>
      <c r="G52" s="80">
        <f t="shared" si="0"/>
        <v>68528.38393006324</v>
      </c>
      <c r="H52" s="80">
        <f t="shared" si="1"/>
        <v>30957.519202681695</v>
      </c>
      <c r="I52" s="72">
        <f t="shared" si="2"/>
        <v>7800857.787090261</v>
      </c>
      <c r="K52" s="79">
        <f t="shared" si="9"/>
        <v>47</v>
      </c>
      <c r="L52" s="80">
        <f t="shared" si="10"/>
        <v>7831815.306292942</v>
      </c>
      <c r="M52" s="80"/>
      <c r="N52" s="80">
        <f t="shared" si="11"/>
        <v>99485.90313274493</v>
      </c>
      <c r="O52" s="80">
        <f t="shared" si="3"/>
        <v>68528.38393006324</v>
      </c>
      <c r="P52" s="80">
        <f t="shared" si="4"/>
        <v>30957.519202681695</v>
      </c>
      <c r="Q52" s="72">
        <f t="shared" si="5"/>
        <v>7800857.787090261</v>
      </c>
    </row>
    <row r="53" spans="3:17" ht="12.75">
      <c r="C53" s="79">
        <f t="shared" si="6"/>
        <v>48</v>
      </c>
      <c r="D53" s="80">
        <f t="shared" si="7"/>
        <v>7800857.787090261</v>
      </c>
      <c r="E53" s="80"/>
      <c r="F53" s="80">
        <f t="shared" si="8"/>
        <v>99485.90313274493</v>
      </c>
      <c r="G53" s="80">
        <f t="shared" si="0"/>
        <v>68257.50563703978</v>
      </c>
      <c r="H53" s="80">
        <f t="shared" si="1"/>
        <v>31228.397495705154</v>
      </c>
      <c r="I53" s="72">
        <f t="shared" si="2"/>
        <v>7769629.389594556</v>
      </c>
      <c r="K53" s="79">
        <f t="shared" si="9"/>
        <v>48</v>
      </c>
      <c r="L53" s="80">
        <f t="shared" si="10"/>
        <v>7800857.787090261</v>
      </c>
      <c r="M53" s="80"/>
      <c r="N53" s="80">
        <f t="shared" si="11"/>
        <v>99485.90313274493</v>
      </c>
      <c r="O53" s="80">
        <f t="shared" si="3"/>
        <v>68257.50563703978</v>
      </c>
      <c r="P53" s="80">
        <f t="shared" si="4"/>
        <v>31228.397495705154</v>
      </c>
      <c r="Q53" s="72">
        <f t="shared" si="5"/>
        <v>7769629.389594556</v>
      </c>
    </row>
    <row r="54" spans="3:17" ht="12.75">
      <c r="C54" s="79">
        <f t="shared" si="6"/>
        <v>49</v>
      </c>
      <c r="D54" s="80">
        <f t="shared" si="7"/>
        <v>7769629.389594556</v>
      </c>
      <c r="E54" s="80"/>
      <c r="F54" s="80">
        <f t="shared" si="8"/>
        <v>99485.90313274493</v>
      </c>
      <c r="G54" s="80">
        <f t="shared" si="0"/>
        <v>67984.25715895236</v>
      </c>
      <c r="H54" s="80">
        <f t="shared" si="1"/>
        <v>31501.645973792576</v>
      </c>
      <c r="I54" s="72">
        <f t="shared" si="2"/>
        <v>7738127.7436207635</v>
      </c>
      <c r="K54" s="79">
        <f t="shared" si="9"/>
        <v>49</v>
      </c>
      <c r="L54" s="80">
        <f t="shared" si="10"/>
        <v>7769629.389594556</v>
      </c>
      <c r="M54" s="80"/>
      <c r="N54" s="80">
        <f t="shared" si="11"/>
        <v>99485.90313274493</v>
      </c>
      <c r="O54" s="80">
        <f t="shared" si="3"/>
        <v>67984.25715895236</v>
      </c>
      <c r="P54" s="80">
        <f t="shared" si="4"/>
        <v>31501.645973792576</v>
      </c>
      <c r="Q54" s="72">
        <f t="shared" si="5"/>
        <v>7738127.7436207635</v>
      </c>
    </row>
    <row r="55" spans="3:17" ht="12.75">
      <c r="C55" s="79">
        <f t="shared" si="6"/>
        <v>50</v>
      </c>
      <c r="D55" s="80">
        <f t="shared" si="7"/>
        <v>7738127.7436207635</v>
      </c>
      <c r="E55" s="80"/>
      <c r="F55" s="80">
        <f t="shared" si="8"/>
        <v>99485.90313274493</v>
      </c>
      <c r="G55" s="80">
        <f t="shared" si="0"/>
        <v>67708.61775668168</v>
      </c>
      <c r="H55" s="80">
        <f t="shared" si="1"/>
        <v>31777.285376063257</v>
      </c>
      <c r="I55" s="72">
        <f t="shared" si="2"/>
        <v>7706350.4582447</v>
      </c>
      <c r="K55" s="79">
        <f t="shared" si="9"/>
        <v>50</v>
      </c>
      <c r="L55" s="80">
        <f t="shared" si="10"/>
        <v>7738127.7436207635</v>
      </c>
      <c r="M55" s="80"/>
      <c r="N55" s="80">
        <f t="shared" si="11"/>
        <v>99485.90313274493</v>
      </c>
      <c r="O55" s="80">
        <f t="shared" si="3"/>
        <v>67708.61775668168</v>
      </c>
      <c r="P55" s="80">
        <f t="shared" si="4"/>
        <v>31777.285376063257</v>
      </c>
      <c r="Q55" s="72">
        <f t="shared" si="5"/>
        <v>7706350.4582447</v>
      </c>
    </row>
    <row r="56" spans="3:17" ht="12.75">
      <c r="C56" s="79">
        <f t="shared" si="6"/>
        <v>51</v>
      </c>
      <c r="D56" s="80">
        <f t="shared" si="7"/>
        <v>7706350.4582447</v>
      </c>
      <c r="E56" s="80"/>
      <c r="F56" s="80">
        <f t="shared" si="8"/>
        <v>99485.90313274493</v>
      </c>
      <c r="G56" s="80">
        <f t="shared" si="0"/>
        <v>67430.56650964112</v>
      </c>
      <c r="H56" s="80">
        <f t="shared" si="1"/>
        <v>32055.33662310381</v>
      </c>
      <c r="I56" s="72">
        <f t="shared" si="2"/>
        <v>7674295.121621597</v>
      </c>
      <c r="K56" s="79">
        <f t="shared" si="9"/>
        <v>51</v>
      </c>
      <c r="L56" s="80">
        <f t="shared" si="10"/>
        <v>7706350.4582447</v>
      </c>
      <c r="M56" s="80"/>
      <c r="N56" s="80">
        <f t="shared" si="11"/>
        <v>99485.90313274493</v>
      </c>
      <c r="O56" s="80">
        <f t="shared" si="3"/>
        <v>67430.56650964112</v>
      </c>
      <c r="P56" s="80">
        <f t="shared" si="4"/>
        <v>32055.33662310381</v>
      </c>
      <c r="Q56" s="72">
        <f t="shared" si="5"/>
        <v>7674295.121621597</v>
      </c>
    </row>
    <row r="57" spans="3:17" ht="12.75">
      <c r="C57" s="79">
        <f t="shared" si="6"/>
        <v>52</v>
      </c>
      <c r="D57" s="80">
        <f t="shared" si="7"/>
        <v>7674295.121621597</v>
      </c>
      <c r="E57" s="80"/>
      <c r="F57" s="80">
        <f t="shared" si="8"/>
        <v>99485.90313274493</v>
      </c>
      <c r="G57" s="80">
        <f t="shared" si="0"/>
        <v>67150.08231418897</v>
      </c>
      <c r="H57" s="80">
        <f t="shared" si="1"/>
        <v>32335.820818555963</v>
      </c>
      <c r="I57" s="72">
        <f t="shared" si="2"/>
        <v>7641959.300803041</v>
      </c>
      <c r="K57" s="79">
        <f t="shared" si="9"/>
        <v>52</v>
      </c>
      <c r="L57" s="80">
        <f t="shared" si="10"/>
        <v>7674295.121621597</v>
      </c>
      <c r="M57" s="80"/>
      <c r="N57" s="80">
        <f t="shared" si="11"/>
        <v>99485.90313274493</v>
      </c>
      <c r="O57" s="80">
        <f t="shared" si="3"/>
        <v>67150.08231418897</v>
      </c>
      <c r="P57" s="80">
        <f t="shared" si="4"/>
        <v>32335.820818555963</v>
      </c>
      <c r="Q57" s="72">
        <f t="shared" si="5"/>
        <v>7641959.300803041</v>
      </c>
    </row>
    <row r="58" spans="3:17" ht="12.75">
      <c r="C58" s="79">
        <f t="shared" si="6"/>
        <v>53</v>
      </c>
      <c r="D58" s="80">
        <f t="shared" si="7"/>
        <v>7641959.300803041</v>
      </c>
      <c r="E58" s="80"/>
      <c r="F58" s="80">
        <f t="shared" si="8"/>
        <v>99485.90313274493</v>
      </c>
      <c r="G58" s="80">
        <f t="shared" si="0"/>
        <v>66867.1438820266</v>
      </c>
      <c r="H58" s="80">
        <f t="shared" si="1"/>
        <v>32618.75925071833</v>
      </c>
      <c r="I58" s="72">
        <f t="shared" si="2"/>
        <v>7609340.541552323</v>
      </c>
      <c r="K58" s="79">
        <f t="shared" si="9"/>
        <v>53</v>
      </c>
      <c r="L58" s="80">
        <f t="shared" si="10"/>
        <v>7641959.300803041</v>
      </c>
      <c r="M58" s="80"/>
      <c r="N58" s="80">
        <f t="shared" si="11"/>
        <v>99485.90313274493</v>
      </c>
      <c r="O58" s="80">
        <f t="shared" si="3"/>
        <v>66867.1438820266</v>
      </c>
      <c r="P58" s="80">
        <f t="shared" si="4"/>
        <v>32618.75925071833</v>
      </c>
      <c r="Q58" s="72">
        <f t="shared" si="5"/>
        <v>7609340.541552323</v>
      </c>
    </row>
    <row r="59" spans="3:17" ht="12.75">
      <c r="C59" s="79">
        <f t="shared" si="6"/>
        <v>54</v>
      </c>
      <c r="D59" s="80">
        <f t="shared" si="7"/>
        <v>7609340.541552323</v>
      </c>
      <c r="E59" s="80"/>
      <c r="F59" s="80">
        <f t="shared" si="8"/>
        <v>99485.90313274493</v>
      </c>
      <c r="G59" s="80">
        <f t="shared" si="0"/>
        <v>66581.72973858283</v>
      </c>
      <c r="H59" s="80">
        <f t="shared" si="1"/>
        <v>32904.173394162106</v>
      </c>
      <c r="I59" s="72">
        <f t="shared" si="2"/>
        <v>7576436.368158161</v>
      </c>
      <c r="K59" s="79">
        <f t="shared" si="9"/>
        <v>54</v>
      </c>
      <c r="L59" s="80">
        <f t="shared" si="10"/>
        <v>7609340.541552323</v>
      </c>
      <c r="M59" s="80"/>
      <c r="N59" s="80">
        <f t="shared" si="11"/>
        <v>99485.90313274493</v>
      </c>
      <c r="O59" s="80">
        <f t="shared" si="3"/>
        <v>66581.72973858283</v>
      </c>
      <c r="P59" s="80">
        <f t="shared" si="4"/>
        <v>32904.173394162106</v>
      </c>
      <c r="Q59" s="72">
        <f t="shared" si="5"/>
        <v>7576436.368158161</v>
      </c>
    </row>
    <row r="60" spans="3:17" ht="12.75">
      <c r="C60" s="79">
        <f t="shared" si="6"/>
        <v>55</v>
      </c>
      <c r="D60" s="80">
        <f t="shared" si="7"/>
        <v>7576436.368158161</v>
      </c>
      <c r="E60" s="80"/>
      <c r="F60" s="80">
        <f t="shared" si="8"/>
        <v>99485.90313274493</v>
      </c>
      <c r="G60" s="80">
        <f t="shared" si="0"/>
        <v>66293.8182213839</v>
      </c>
      <c r="H60" s="80">
        <f t="shared" si="1"/>
        <v>33192.08491136103</v>
      </c>
      <c r="I60" s="72">
        <f t="shared" si="2"/>
        <v>7543244.283246799</v>
      </c>
      <c r="K60" s="79">
        <f t="shared" si="9"/>
        <v>55</v>
      </c>
      <c r="L60" s="80">
        <f t="shared" si="10"/>
        <v>7576436.368158161</v>
      </c>
      <c r="M60" s="80"/>
      <c r="N60" s="80">
        <f t="shared" si="11"/>
        <v>99485.90313274493</v>
      </c>
      <c r="O60" s="80">
        <f t="shared" si="3"/>
        <v>66293.8182213839</v>
      </c>
      <c r="P60" s="80">
        <f t="shared" si="4"/>
        <v>33192.08491136103</v>
      </c>
      <c r="Q60" s="72">
        <f t="shared" si="5"/>
        <v>7543244.283246799</v>
      </c>
    </row>
    <row r="61" spans="3:17" ht="12.75">
      <c r="C61" s="79">
        <f t="shared" si="6"/>
        <v>56</v>
      </c>
      <c r="D61" s="80">
        <f t="shared" si="7"/>
        <v>7543244.283246799</v>
      </c>
      <c r="E61" s="80"/>
      <c r="F61" s="80">
        <f t="shared" si="8"/>
        <v>99485.90313274493</v>
      </c>
      <c r="G61" s="80">
        <f t="shared" si="0"/>
        <v>66003.3874784095</v>
      </c>
      <c r="H61" s="80">
        <f t="shared" si="1"/>
        <v>33482.51565433544</v>
      </c>
      <c r="I61" s="72">
        <f t="shared" si="2"/>
        <v>7509761.767592464</v>
      </c>
      <c r="K61" s="79">
        <f t="shared" si="9"/>
        <v>56</v>
      </c>
      <c r="L61" s="80">
        <f t="shared" si="10"/>
        <v>7543244.283246799</v>
      </c>
      <c r="M61" s="80"/>
      <c r="N61" s="80">
        <f t="shared" si="11"/>
        <v>99485.90313274493</v>
      </c>
      <c r="O61" s="80">
        <f t="shared" si="3"/>
        <v>66003.3874784095</v>
      </c>
      <c r="P61" s="80">
        <f t="shared" si="4"/>
        <v>33482.51565433544</v>
      </c>
      <c r="Q61" s="72">
        <f t="shared" si="5"/>
        <v>7509761.767592464</v>
      </c>
    </row>
    <row r="62" spans="3:17" ht="12.75">
      <c r="C62" s="79">
        <f t="shared" si="6"/>
        <v>57</v>
      </c>
      <c r="D62" s="80">
        <f t="shared" si="7"/>
        <v>7509761.767592464</v>
      </c>
      <c r="E62" s="80"/>
      <c r="F62" s="80">
        <f t="shared" si="8"/>
        <v>99485.90313274493</v>
      </c>
      <c r="G62" s="80">
        <f t="shared" si="0"/>
        <v>65710.41546643405</v>
      </c>
      <c r="H62" s="80">
        <f t="shared" si="1"/>
        <v>33775.48766631089</v>
      </c>
      <c r="I62" s="72">
        <f t="shared" si="2"/>
        <v>7475986.279926153</v>
      </c>
      <c r="K62" s="79">
        <f t="shared" si="9"/>
        <v>57</v>
      </c>
      <c r="L62" s="80">
        <f t="shared" si="10"/>
        <v>7509761.767592464</v>
      </c>
      <c r="M62" s="80"/>
      <c r="N62" s="80">
        <f t="shared" si="11"/>
        <v>99485.90313274493</v>
      </c>
      <c r="O62" s="80">
        <f t="shared" si="3"/>
        <v>65710.41546643405</v>
      </c>
      <c r="P62" s="80">
        <f t="shared" si="4"/>
        <v>33775.48766631089</v>
      </c>
      <c r="Q62" s="72">
        <f t="shared" si="5"/>
        <v>7475986.279926153</v>
      </c>
    </row>
    <row r="63" spans="3:17" ht="12.75">
      <c r="C63" s="79">
        <f t="shared" si="6"/>
        <v>58</v>
      </c>
      <c r="D63" s="80">
        <f t="shared" si="7"/>
        <v>7475986.279926153</v>
      </c>
      <c r="E63" s="80"/>
      <c r="F63" s="80">
        <f t="shared" si="8"/>
        <v>99485.90313274493</v>
      </c>
      <c r="G63" s="80">
        <f t="shared" si="0"/>
        <v>65414.87994935384</v>
      </c>
      <c r="H63" s="80">
        <f t="shared" si="1"/>
        <v>34071.023183391095</v>
      </c>
      <c r="I63" s="72">
        <f t="shared" si="2"/>
        <v>7441915.2567427615</v>
      </c>
      <c r="K63" s="79">
        <f t="shared" si="9"/>
        <v>58</v>
      </c>
      <c r="L63" s="80">
        <f t="shared" si="10"/>
        <v>7475986.279926153</v>
      </c>
      <c r="M63" s="80"/>
      <c r="N63" s="80">
        <f t="shared" si="11"/>
        <v>99485.90313274493</v>
      </c>
      <c r="O63" s="80">
        <f t="shared" si="3"/>
        <v>65414.87994935384</v>
      </c>
      <c r="P63" s="80">
        <f t="shared" si="4"/>
        <v>34071.023183391095</v>
      </c>
      <c r="Q63" s="72">
        <f t="shared" si="5"/>
        <v>7441915.2567427615</v>
      </c>
    </row>
    <row r="64" spans="3:17" ht="12.75">
      <c r="C64" s="79">
        <f t="shared" si="6"/>
        <v>59</v>
      </c>
      <c r="D64" s="80">
        <f t="shared" si="7"/>
        <v>7441915.2567427615</v>
      </c>
      <c r="E64" s="80"/>
      <c r="F64" s="80">
        <f t="shared" si="8"/>
        <v>99485.90313274493</v>
      </c>
      <c r="G64" s="80">
        <f t="shared" si="0"/>
        <v>65116.75849649916</v>
      </c>
      <c r="H64" s="80">
        <f t="shared" si="1"/>
        <v>34369.14463624577</v>
      </c>
      <c r="I64" s="72">
        <f t="shared" si="2"/>
        <v>7407546.112106516</v>
      </c>
      <c r="K64" s="79">
        <f t="shared" si="9"/>
        <v>59</v>
      </c>
      <c r="L64" s="80">
        <f t="shared" si="10"/>
        <v>7441915.2567427615</v>
      </c>
      <c r="M64" s="80"/>
      <c r="N64" s="80">
        <f t="shared" si="11"/>
        <v>99485.90313274493</v>
      </c>
      <c r="O64" s="80">
        <f t="shared" si="3"/>
        <v>65116.75849649916</v>
      </c>
      <c r="P64" s="80">
        <f t="shared" si="4"/>
        <v>34369.14463624577</v>
      </c>
      <c r="Q64" s="72">
        <f t="shared" si="5"/>
        <v>7407546.112106516</v>
      </c>
    </row>
    <row r="65" spans="3:17" ht="12.75">
      <c r="C65" s="79">
        <f t="shared" si="6"/>
        <v>60</v>
      </c>
      <c r="D65" s="80">
        <f t="shared" si="7"/>
        <v>7407546.112106516</v>
      </c>
      <c r="E65" s="80"/>
      <c r="F65" s="80">
        <f t="shared" si="8"/>
        <v>99485.90313274493</v>
      </c>
      <c r="G65" s="80">
        <f t="shared" si="0"/>
        <v>64816.02848093201</v>
      </c>
      <c r="H65" s="80">
        <f t="shared" si="1"/>
        <v>34669.87465181293</v>
      </c>
      <c r="I65" s="72">
        <f t="shared" si="2"/>
        <v>7372876.237454703</v>
      </c>
      <c r="K65" s="79">
        <f t="shared" si="9"/>
        <v>60</v>
      </c>
      <c r="L65" s="80">
        <f t="shared" si="10"/>
        <v>7407546.112106516</v>
      </c>
      <c r="M65" s="80"/>
      <c r="N65" s="80">
        <f t="shared" si="11"/>
        <v>99485.90313274493</v>
      </c>
      <c r="O65" s="80">
        <f t="shared" si="3"/>
        <v>64816.02848093201</v>
      </c>
      <c r="P65" s="80">
        <f t="shared" si="4"/>
        <v>34669.87465181293</v>
      </c>
      <c r="Q65" s="72">
        <f t="shared" si="5"/>
        <v>7372876.237454703</v>
      </c>
    </row>
    <row r="66" spans="3:17" ht="12.75">
      <c r="C66" s="79">
        <f t="shared" si="6"/>
        <v>61</v>
      </c>
      <c r="D66" s="80">
        <f t="shared" si="7"/>
        <v>7372876.237454703</v>
      </c>
      <c r="E66" s="80"/>
      <c r="F66" s="80">
        <f t="shared" si="8"/>
        <v>99485.90313274493</v>
      </c>
      <c r="G66" s="80">
        <f t="shared" si="0"/>
        <v>64512.667077728656</v>
      </c>
      <c r="H66" s="80">
        <f t="shared" si="1"/>
        <v>34973.23605501628</v>
      </c>
      <c r="I66" s="72">
        <f t="shared" si="2"/>
        <v>7337903.001399687</v>
      </c>
      <c r="K66" s="79">
        <f t="shared" si="9"/>
        <v>61</v>
      </c>
      <c r="L66" s="80">
        <f t="shared" si="10"/>
        <v>7372876.237454703</v>
      </c>
      <c r="M66" s="80"/>
      <c r="N66" s="80">
        <f t="shared" si="11"/>
        <v>99485.90313274493</v>
      </c>
      <c r="O66" s="80">
        <f t="shared" si="3"/>
        <v>64512.667077728656</v>
      </c>
      <c r="P66" s="80">
        <f t="shared" si="4"/>
        <v>34973.23605501628</v>
      </c>
      <c r="Q66" s="72">
        <f t="shared" si="5"/>
        <v>7337903.001399687</v>
      </c>
    </row>
    <row r="67" spans="3:17" ht="12.75">
      <c r="C67" s="79">
        <f t="shared" si="6"/>
        <v>62</v>
      </c>
      <c r="D67" s="80">
        <f t="shared" si="7"/>
        <v>7337903.001399687</v>
      </c>
      <c r="E67" s="80"/>
      <c r="F67" s="80">
        <f t="shared" si="8"/>
        <v>99485.90313274493</v>
      </c>
      <c r="G67" s="80">
        <f t="shared" si="0"/>
        <v>64206.65126224726</v>
      </c>
      <c r="H67" s="80">
        <f t="shared" si="1"/>
        <v>35279.251870497676</v>
      </c>
      <c r="I67" s="72">
        <f t="shared" si="2"/>
        <v>7302623.7495291885</v>
      </c>
      <c r="K67" s="79">
        <f t="shared" si="9"/>
        <v>62</v>
      </c>
      <c r="L67" s="80">
        <f t="shared" si="10"/>
        <v>7337903.001399687</v>
      </c>
      <c r="M67" s="80"/>
      <c r="N67" s="80">
        <f t="shared" si="11"/>
        <v>99485.90313274493</v>
      </c>
      <c r="O67" s="80">
        <f t="shared" si="3"/>
        <v>64206.65126224726</v>
      </c>
      <c r="P67" s="80">
        <f t="shared" si="4"/>
        <v>35279.251870497676</v>
      </c>
      <c r="Q67" s="72">
        <f t="shared" si="5"/>
        <v>7302623.7495291885</v>
      </c>
    </row>
    <row r="68" spans="3:17" ht="12.75">
      <c r="C68" s="79">
        <f t="shared" si="6"/>
        <v>63</v>
      </c>
      <c r="D68" s="80">
        <f t="shared" si="7"/>
        <v>7302623.7495291885</v>
      </c>
      <c r="E68" s="80"/>
      <c r="F68" s="80">
        <f t="shared" si="8"/>
        <v>99485.90313274493</v>
      </c>
      <c r="G68" s="80">
        <f t="shared" si="0"/>
        <v>63897.95780838039</v>
      </c>
      <c r="H68" s="80">
        <f t="shared" si="1"/>
        <v>35587.94532436454</v>
      </c>
      <c r="I68" s="72">
        <f t="shared" si="2"/>
        <v>7267035.804204824</v>
      </c>
      <c r="K68" s="79">
        <f t="shared" si="9"/>
        <v>63</v>
      </c>
      <c r="L68" s="80">
        <f t="shared" si="10"/>
        <v>7302623.7495291885</v>
      </c>
      <c r="M68" s="80"/>
      <c r="N68" s="80">
        <f t="shared" si="11"/>
        <v>99485.90313274493</v>
      </c>
      <c r="O68" s="80">
        <f t="shared" si="3"/>
        <v>63897.95780838039</v>
      </c>
      <c r="P68" s="80">
        <f t="shared" si="4"/>
        <v>35587.94532436454</v>
      </c>
      <c r="Q68" s="72">
        <f t="shared" si="5"/>
        <v>7267035.804204824</v>
      </c>
    </row>
    <row r="69" spans="3:17" ht="12.75">
      <c r="C69" s="79">
        <f t="shared" si="6"/>
        <v>64</v>
      </c>
      <c r="D69" s="80">
        <f t="shared" si="7"/>
        <v>7267035.804204824</v>
      </c>
      <c r="E69" s="80"/>
      <c r="F69" s="80">
        <f t="shared" si="8"/>
        <v>99485.90313274493</v>
      </c>
      <c r="G69" s="80">
        <f t="shared" si="0"/>
        <v>63586.56328679222</v>
      </c>
      <c r="H69" s="80">
        <f t="shared" si="1"/>
        <v>35899.339845952716</v>
      </c>
      <c r="I69" s="72">
        <f t="shared" si="2"/>
        <v>7231136.464358872</v>
      </c>
      <c r="K69" s="79">
        <f t="shared" si="9"/>
        <v>64</v>
      </c>
      <c r="L69" s="80">
        <f t="shared" si="10"/>
        <v>7267035.804204824</v>
      </c>
      <c r="M69" s="80"/>
      <c r="N69" s="80">
        <f t="shared" si="11"/>
        <v>99485.90313274493</v>
      </c>
      <c r="O69" s="80">
        <f t="shared" si="3"/>
        <v>63586.56328679222</v>
      </c>
      <c r="P69" s="80">
        <f t="shared" si="4"/>
        <v>35899.339845952716</v>
      </c>
      <c r="Q69" s="72">
        <f t="shared" si="5"/>
        <v>7231136.464358872</v>
      </c>
    </row>
    <row r="70" spans="3:17" ht="12.75">
      <c r="C70" s="79">
        <f t="shared" si="6"/>
        <v>65</v>
      </c>
      <c r="D70" s="80">
        <f t="shared" si="7"/>
        <v>7231136.464358872</v>
      </c>
      <c r="E70" s="80"/>
      <c r="F70" s="80">
        <f t="shared" si="8"/>
        <v>99485.90313274493</v>
      </c>
      <c r="G70" s="80">
        <f t="shared" si="0"/>
        <v>63272.44406314013</v>
      </c>
      <c r="H70" s="80">
        <f t="shared" si="1"/>
        <v>36213.4590696048</v>
      </c>
      <c r="I70" s="72">
        <f t="shared" si="2"/>
        <v>7194923.005289267</v>
      </c>
      <c r="K70" s="79">
        <f t="shared" si="9"/>
        <v>65</v>
      </c>
      <c r="L70" s="80">
        <f t="shared" si="10"/>
        <v>7231136.464358872</v>
      </c>
      <c r="M70" s="80"/>
      <c r="N70" s="80">
        <f t="shared" si="11"/>
        <v>99485.90313274493</v>
      </c>
      <c r="O70" s="80">
        <f t="shared" si="3"/>
        <v>63272.44406314013</v>
      </c>
      <c r="P70" s="80">
        <f t="shared" si="4"/>
        <v>36213.4590696048</v>
      </c>
      <c r="Q70" s="72">
        <f t="shared" si="5"/>
        <v>7194923.005289267</v>
      </c>
    </row>
    <row r="71" spans="3:17" ht="12.75">
      <c r="C71" s="79">
        <f t="shared" si="6"/>
        <v>66</v>
      </c>
      <c r="D71" s="80">
        <f t="shared" si="7"/>
        <v>7194923.005289267</v>
      </c>
      <c r="E71" s="80"/>
      <c r="F71" s="80">
        <f t="shared" si="8"/>
        <v>99485.90313274493</v>
      </c>
      <c r="G71" s="80">
        <f aca="true" t="shared" si="12" ref="G71:G88">+D71*G$5/12</f>
        <v>62955.57629628108</v>
      </c>
      <c r="H71" s="80">
        <f aca="true" t="shared" si="13" ref="H71:H88">+F71-G71</f>
        <v>36530.32683646386</v>
      </c>
      <c r="I71" s="72">
        <f aca="true" t="shared" si="14" ref="I71:I88">+D71-H71</f>
        <v>7158392.678452803</v>
      </c>
      <c r="K71" s="79">
        <f t="shared" si="9"/>
        <v>66</v>
      </c>
      <c r="L71" s="80">
        <f t="shared" si="10"/>
        <v>7194923.005289267</v>
      </c>
      <c r="M71" s="80"/>
      <c r="N71" s="80">
        <f t="shared" si="11"/>
        <v>99485.90313274493</v>
      </c>
      <c r="O71" s="80">
        <f aca="true" t="shared" si="15" ref="O71:O101">+L71*O$5/12</f>
        <v>62955.57629628108</v>
      </c>
      <c r="P71" s="80">
        <f aca="true" t="shared" si="16" ref="P71:P101">+N71-O71</f>
        <v>36530.32683646386</v>
      </c>
      <c r="Q71" s="72">
        <f aca="true" t="shared" si="17" ref="Q71:Q101">+L71-P71</f>
        <v>7158392.678452803</v>
      </c>
    </row>
    <row r="72" spans="3:17" ht="12.75">
      <c r="C72" s="79">
        <f aca="true" t="shared" si="18" ref="C72:C88">+C71+1</f>
        <v>67</v>
      </c>
      <c r="D72" s="80">
        <f aca="true" t="shared" si="19" ref="D72:D88">+I71</f>
        <v>7158392.678452803</v>
      </c>
      <c r="E72" s="80"/>
      <c r="F72" s="80">
        <f aca="true" t="shared" si="20" ref="F72:F88">+F71</f>
        <v>99485.90313274493</v>
      </c>
      <c r="G72" s="80">
        <f t="shared" si="12"/>
        <v>62635.93593646202</v>
      </c>
      <c r="H72" s="80">
        <f t="shared" si="13"/>
        <v>36849.967196282916</v>
      </c>
      <c r="I72" s="72">
        <f t="shared" si="14"/>
        <v>7121542.71125652</v>
      </c>
      <c r="K72" s="79">
        <f aca="true" t="shared" si="21" ref="K72:K101">+K71+1</f>
        <v>67</v>
      </c>
      <c r="L72" s="80">
        <f aca="true" t="shared" si="22" ref="L72:L101">+Q71</f>
        <v>7158392.678452803</v>
      </c>
      <c r="M72" s="80"/>
      <c r="N72" s="80">
        <f aca="true" t="shared" si="23" ref="N72:N101">+N71</f>
        <v>99485.90313274493</v>
      </c>
      <c r="O72" s="80">
        <f t="shared" si="15"/>
        <v>62635.93593646202</v>
      </c>
      <c r="P72" s="80">
        <f t="shared" si="16"/>
        <v>36849.967196282916</v>
      </c>
      <c r="Q72" s="72">
        <f t="shared" si="17"/>
        <v>7121542.71125652</v>
      </c>
    </row>
    <row r="73" spans="3:17" ht="12.75">
      <c r="C73" s="79">
        <f t="shared" si="18"/>
        <v>68</v>
      </c>
      <c r="D73" s="80">
        <f t="shared" si="19"/>
        <v>7121542.71125652</v>
      </c>
      <c r="E73" s="80"/>
      <c r="F73" s="80">
        <f t="shared" si="20"/>
        <v>99485.90313274493</v>
      </c>
      <c r="G73" s="80">
        <f t="shared" si="12"/>
        <v>62313.49872349455</v>
      </c>
      <c r="H73" s="80">
        <f t="shared" si="13"/>
        <v>37172.40440925038</v>
      </c>
      <c r="I73" s="72">
        <f t="shared" si="14"/>
        <v>7084370.30684727</v>
      </c>
      <c r="K73" s="79">
        <f t="shared" si="21"/>
        <v>68</v>
      </c>
      <c r="L73" s="80">
        <f t="shared" si="22"/>
        <v>7121542.71125652</v>
      </c>
      <c r="M73" s="80"/>
      <c r="N73" s="80">
        <f t="shared" si="23"/>
        <v>99485.90313274493</v>
      </c>
      <c r="O73" s="80">
        <f t="shared" si="15"/>
        <v>62313.49872349455</v>
      </c>
      <c r="P73" s="80">
        <f t="shared" si="16"/>
        <v>37172.40440925038</v>
      </c>
      <c r="Q73" s="72">
        <f t="shared" si="17"/>
        <v>7084370.30684727</v>
      </c>
    </row>
    <row r="74" spans="3:17" ht="12.75">
      <c r="C74" s="79">
        <f t="shared" si="18"/>
        <v>69</v>
      </c>
      <c r="D74" s="80">
        <f t="shared" si="19"/>
        <v>7084370.30684727</v>
      </c>
      <c r="E74" s="80"/>
      <c r="F74" s="80">
        <f t="shared" si="20"/>
        <v>99485.90313274493</v>
      </c>
      <c r="G74" s="80">
        <f t="shared" si="12"/>
        <v>61988.2401849136</v>
      </c>
      <c r="H74" s="80">
        <f t="shared" si="13"/>
        <v>37497.66294783133</v>
      </c>
      <c r="I74" s="72">
        <f t="shared" si="14"/>
        <v>7046872.643899438</v>
      </c>
      <c r="K74" s="79">
        <f t="shared" si="21"/>
        <v>69</v>
      </c>
      <c r="L74" s="80">
        <f t="shared" si="22"/>
        <v>7084370.30684727</v>
      </c>
      <c r="M74" s="80"/>
      <c r="N74" s="80">
        <f t="shared" si="23"/>
        <v>99485.90313274493</v>
      </c>
      <c r="O74" s="80">
        <f t="shared" si="15"/>
        <v>61988.2401849136</v>
      </c>
      <c r="P74" s="80">
        <f t="shared" si="16"/>
        <v>37497.66294783133</v>
      </c>
      <c r="Q74" s="72">
        <f t="shared" si="17"/>
        <v>7046872.643899438</v>
      </c>
    </row>
    <row r="75" spans="3:17" ht="12.75">
      <c r="C75" s="79">
        <f t="shared" si="18"/>
        <v>70</v>
      </c>
      <c r="D75" s="80">
        <f t="shared" si="19"/>
        <v>7046872.643899438</v>
      </c>
      <c r="E75" s="80"/>
      <c r="F75" s="80">
        <f t="shared" si="20"/>
        <v>99485.90313274493</v>
      </c>
      <c r="G75" s="80">
        <f t="shared" si="12"/>
        <v>61660.13563412008</v>
      </c>
      <c r="H75" s="80">
        <f t="shared" si="13"/>
        <v>37825.76749862485</v>
      </c>
      <c r="I75" s="72">
        <f t="shared" si="14"/>
        <v>7009046.876400813</v>
      </c>
      <c r="K75" s="79">
        <f t="shared" si="21"/>
        <v>70</v>
      </c>
      <c r="L75" s="80">
        <f t="shared" si="22"/>
        <v>7046872.643899438</v>
      </c>
      <c r="M75" s="80"/>
      <c r="N75" s="80">
        <f t="shared" si="23"/>
        <v>99485.90313274493</v>
      </c>
      <c r="O75" s="80">
        <f t="shared" si="15"/>
        <v>61660.13563412008</v>
      </c>
      <c r="P75" s="80">
        <f t="shared" si="16"/>
        <v>37825.76749862485</v>
      </c>
      <c r="Q75" s="72">
        <f t="shared" si="17"/>
        <v>7009046.876400813</v>
      </c>
    </row>
    <row r="76" spans="3:17" ht="12.75">
      <c r="C76" s="79">
        <f t="shared" si="18"/>
        <v>71</v>
      </c>
      <c r="D76" s="80">
        <f t="shared" si="19"/>
        <v>7009046.876400813</v>
      </c>
      <c r="E76" s="80"/>
      <c r="F76" s="80">
        <f t="shared" si="20"/>
        <v>99485.90313274493</v>
      </c>
      <c r="G76" s="80">
        <f t="shared" si="12"/>
        <v>61329.160168507115</v>
      </c>
      <c r="H76" s="80">
        <f t="shared" si="13"/>
        <v>38156.74296423782</v>
      </c>
      <c r="I76" s="72">
        <f t="shared" si="14"/>
        <v>6970890.1334365755</v>
      </c>
      <c r="K76" s="79">
        <f t="shared" si="21"/>
        <v>71</v>
      </c>
      <c r="L76" s="80">
        <f t="shared" si="22"/>
        <v>7009046.876400813</v>
      </c>
      <c r="M76" s="80"/>
      <c r="N76" s="80">
        <f t="shared" si="23"/>
        <v>99485.90313274493</v>
      </c>
      <c r="O76" s="80">
        <f t="shared" si="15"/>
        <v>61329.160168507115</v>
      </c>
      <c r="P76" s="80">
        <f t="shared" si="16"/>
        <v>38156.74296423782</v>
      </c>
      <c r="Q76" s="72">
        <f t="shared" si="17"/>
        <v>6970890.1334365755</v>
      </c>
    </row>
    <row r="77" spans="3:17" ht="12.75">
      <c r="C77" s="79">
        <f t="shared" si="18"/>
        <v>72</v>
      </c>
      <c r="D77" s="80">
        <f t="shared" si="19"/>
        <v>6970890.1334365755</v>
      </c>
      <c r="E77" s="80"/>
      <c r="F77" s="80">
        <f t="shared" si="20"/>
        <v>99485.90313274493</v>
      </c>
      <c r="G77" s="80">
        <f t="shared" si="12"/>
        <v>60995.288667570036</v>
      </c>
      <c r="H77" s="80">
        <f t="shared" si="13"/>
        <v>38490.6144651749</v>
      </c>
      <c r="I77" s="72">
        <f t="shared" si="14"/>
        <v>6932399.5189714</v>
      </c>
      <c r="K77" s="79">
        <f t="shared" si="21"/>
        <v>72</v>
      </c>
      <c r="L77" s="80">
        <f t="shared" si="22"/>
        <v>6970890.1334365755</v>
      </c>
      <c r="M77" s="80"/>
      <c r="N77" s="80">
        <f t="shared" si="23"/>
        <v>99485.90313274493</v>
      </c>
      <c r="O77" s="80">
        <f t="shared" si="15"/>
        <v>60995.288667570036</v>
      </c>
      <c r="P77" s="80">
        <f t="shared" si="16"/>
        <v>38490.6144651749</v>
      </c>
      <c r="Q77" s="72">
        <f t="shared" si="17"/>
        <v>6932399.5189714</v>
      </c>
    </row>
    <row r="78" spans="3:17" ht="12.75">
      <c r="C78" s="79">
        <f t="shared" si="18"/>
        <v>73</v>
      </c>
      <c r="D78" s="80">
        <f t="shared" si="19"/>
        <v>6932399.5189714</v>
      </c>
      <c r="E78" s="80"/>
      <c r="F78" s="80">
        <f t="shared" si="20"/>
        <v>99485.90313274493</v>
      </c>
      <c r="G78" s="80">
        <f t="shared" si="12"/>
        <v>60658.495790999754</v>
      </c>
      <c r="H78" s="80">
        <f t="shared" si="13"/>
        <v>38827.40734174518</v>
      </c>
      <c r="I78" s="72">
        <f t="shared" si="14"/>
        <v>6893572.111629656</v>
      </c>
      <c r="K78" s="79">
        <f t="shared" si="21"/>
        <v>73</v>
      </c>
      <c r="L78" s="80">
        <f t="shared" si="22"/>
        <v>6932399.5189714</v>
      </c>
      <c r="M78" s="80"/>
      <c r="N78" s="80">
        <f t="shared" si="23"/>
        <v>99485.90313274493</v>
      </c>
      <c r="O78" s="80">
        <f t="shared" si="15"/>
        <v>60658.495790999754</v>
      </c>
      <c r="P78" s="80">
        <f t="shared" si="16"/>
        <v>38827.40734174518</v>
      </c>
      <c r="Q78" s="72">
        <f t="shared" si="17"/>
        <v>6893572.111629656</v>
      </c>
    </row>
    <row r="79" spans="3:17" ht="12.75">
      <c r="C79" s="79">
        <f t="shared" si="18"/>
        <v>74</v>
      </c>
      <c r="D79" s="80">
        <f t="shared" si="19"/>
        <v>6893572.111629656</v>
      </c>
      <c r="E79" s="80"/>
      <c r="F79" s="80">
        <f t="shared" si="20"/>
        <v>99485.90313274493</v>
      </c>
      <c r="G79" s="80">
        <f t="shared" si="12"/>
        <v>60318.75597675948</v>
      </c>
      <c r="H79" s="80">
        <f t="shared" si="13"/>
        <v>39167.147155985454</v>
      </c>
      <c r="I79" s="72">
        <f t="shared" si="14"/>
        <v>6854404.96447367</v>
      </c>
      <c r="K79" s="79">
        <f t="shared" si="21"/>
        <v>74</v>
      </c>
      <c r="L79" s="80">
        <f t="shared" si="22"/>
        <v>6893572.111629656</v>
      </c>
      <c r="M79" s="80"/>
      <c r="N79" s="80">
        <f t="shared" si="23"/>
        <v>99485.90313274493</v>
      </c>
      <c r="O79" s="80">
        <f t="shared" si="15"/>
        <v>60318.75597675948</v>
      </c>
      <c r="P79" s="80">
        <f t="shared" si="16"/>
        <v>39167.147155985454</v>
      </c>
      <c r="Q79" s="72">
        <f t="shared" si="17"/>
        <v>6854404.96447367</v>
      </c>
    </row>
    <row r="80" spans="3:17" ht="12.75">
      <c r="C80" s="79">
        <f t="shared" si="18"/>
        <v>75</v>
      </c>
      <c r="D80" s="80">
        <f t="shared" si="19"/>
        <v>6854404.96447367</v>
      </c>
      <c r="E80" s="80"/>
      <c r="F80" s="80">
        <f t="shared" si="20"/>
        <v>99485.90313274493</v>
      </c>
      <c r="G80" s="80">
        <f t="shared" si="12"/>
        <v>59976.04343914462</v>
      </c>
      <c r="H80" s="80">
        <f t="shared" si="13"/>
        <v>39509.859693600316</v>
      </c>
      <c r="I80" s="72">
        <f t="shared" si="14"/>
        <v>6814895.1047800705</v>
      </c>
      <c r="K80" s="79">
        <f t="shared" si="21"/>
        <v>75</v>
      </c>
      <c r="L80" s="80">
        <f t="shared" si="22"/>
        <v>6854404.96447367</v>
      </c>
      <c r="M80" s="80"/>
      <c r="N80" s="80">
        <f t="shared" si="23"/>
        <v>99485.90313274493</v>
      </c>
      <c r="O80" s="80">
        <f t="shared" si="15"/>
        <v>59976.04343914462</v>
      </c>
      <c r="P80" s="80">
        <f t="shared" si="16"/>
        <v>39509.859693600316</v>
      </c>
      <c r="Q80" s="72">
        <f t="shared" si="17"/>
        <v>6814895.1047800705</v>
      </c>
    </row>
    <row r="81" spans="3:17" ht="12.75">
      <c r="C81" s="79">
        <f t="shared" si="18"/>
        <v>76</v>
      </c>
      <c r="D81" s="80">
        <f t="shared" si="19"/>
        <v>6814895.1047800705</v>
      </c>
      <c r="E81" s="80"/>
      <c r="F81" s="80">
        <f t="shared" si="20"/>
        <v>99485.90313274493</v>
      </c>
      <c r="G81" s="80">
        <f t="shared" si="12"/>
        <v>59630.33216682562</v>
      </c>
      <c r="H81" s="80">
        <f t="shared" si="13"/>
        <v>39855.570965919316</v>
      </c>
      <c r="I81" s="72">
        <f t="shared" si="14"/>
        <v>6775039.533814151</v>
      </c>
      <c r="K81" s="79">
        <f t="shared" si="21"/>
        <v>76</v>
      </c>
      <c r="L81" s="80">
        <f t="shared" si="22"/>
        <v>6814895.1047800705</v>
      </c>
      <c r="M81" s="80"/>
      <c r="N81" s="80">
        <f t="shared" si="23"/>
        <v>99485.90313274493</v>
      </c>
      <c r="O81" s="80">
        <f t="shared" si="15"/>
        <v>59630.33216682562</v>
      </c>
      <c r="P81" s="80">
        <f t="shared" si="16"/>
        <v>39855.570965919316</v>
      </c>
      <c r="Q81" s="72">
        <f t="shared" si="17"/>
        <v>6775039.533814151</v>
      </c>
    </row>
    <row r="82" spans="3:17" ht="12.75">
      <c r="C82" s="79">
        <f t="shared" si="18"/>
        <v>77</v>
      </c>
      <c r="D82" s="80">
        <f t="shared" si="19"/>
        <v>6775039.533814151</v>
      </c>
      <c r="E82" s="80"/>
      <c r="F82" s="80">
        <f t="shared" si="20"/>
        <v>99485.90313274493</v>
      </c>
      <c r="G82" s="80">
        <f t="shared" si="12"/>
        <v>59281.59592087381</v>
      </c>
      <c r="H82" s="80">
        <f t="shared" si="13"/>
        <v>40204.30721187112</v>
      </c>
      <c r="I82" s="72">
        <f t="shared" si="14"/>
        <v>6734835.22660228</v>
      </c>
      <c r="K82" s="79">
        <f t="shared" si="21"/>
        <v>77</v>
      </c>
      <c r="L82" s="80">
        <f t="shared" si="22"/>
        <v>6775039.533814151</v>
      </c>
      <c r="M82" s="80"/>
      <c r="N82" s="80">
        <f t="shared" si="23"/>
        <v>99485.90313274493</v>
      </c>
      <c r="O82" s="80">
        <f t="shared" si="15"/>
        <v>59281.59592087381</v>
      </c>
      <c r="P82" s="80">
        <f t="shared" si="16"/>
        <v>40204.30721187112</v>
      </c>
      <c r="Q82" s="72">
        <f t="shared" si="17"/>
        <v>6734835.22660228</v>
      </c>
    </row>
    <row r="83" spans="3:17" ht="12.75">
      <c r="C83" s="79">
        <f t="shared" si="18"/>
        <v>78</v>
      </c>
      <c r="D83" s="80">
        <f t="shared" si="19"/>
        <v>6734835.22660228</v>
      </c>
      <c r="E83" s="80"/>
      <c r="F83" s="80">
        <f t="shared" si="20"/>
        <v>99485.90313274493</v>
      </c>
      <c r="G83" s="80">
        <f t="shared" si="12"/>
        <v>58929.808232769945</v>
      </c>
      <c r="H83" s="80">
        <f t="shared" si="13"/>
        <v>40556.09489997499</v>
      </c>
      <c r="I83" s="72">
        <f t="shared" si="14"/>
        <v>6694279.131702305</v>
      </c>
      <c r="K83" s="79">
        <f t="shared" si="21"/>
        <v>78</v>
      </c>
      <c r="L83" s="80">
        <f t="shared" si="22"/>
        <v>6734835.22660228</v>
      </c>
      <c r="M83" s="80"/>
      <c r="N83" s="80">
        <f t="shared" si="23"/>
        <v>99485.90313274493</v>
      </c>
      <c r="O83" s="80">
        <f t="shared" si="15"/>
        <v>58929.808232769945</v>
      </c>
      <c r="P83" s="80">
        <f t="shared" si="16"/>
        <v>40556.09489997499</v>
      </c>
      <c r="Q83" s="72">
        <f t="shared" si="17"/>
        <v>6694279.131702305</v>
      </c>
    </row>
    <row r="84" spans="3:17" ht="12.75">
      <c r="C84" s="79">
        <f t="shared" si="18"/>
        <v>79</v>
      </c>
      <c r="D84" s="80">
        <f t="shared" si="19"/>
        <v>6694279.131702305</v>
      </c>
      <c r="E84" s="80"/>
      <c r="F84" s="80">
        <f t="shared" si="20"/>
        <v>99485.90313274493</v>
      </c>
      <c r="G84" s="80">
        <f t="shared" si="12"/>
        <v>58574.942402395165</v>
      </c>
      <c r="H84" s="80">
        <f t="shared" si="13"/>
        <v>40910.96073034977</v>
      </c>
      <c r="I84" s="72">
        <f t="shared" si="14"/>
        <v>6653368.170971955</v>
      </c>
      <c r="K84" s="79">
        <f t="shared" si="21"/>
        <v>79</v>
      </c>
      <c r="L84" s="80">
        <f t="shared" si="22"/>
        <v>6694279.131702305</v>
      </c>
      <c r="M84" s="80"/>
      <c r="N84" s="80">
        <f t="shared" si="23"/>
        <v>99485.90313274493</v>
      </c>
      <c r="O84" s="80">
        <f t="shared" si="15"/>
        <v>58574.942402395165</v>
      </c>
      <c r="P84" s="80">
        <f t="shared" si="16"/>
        <v>40910.96073034977</v>
      </c>
      <c r="Q84" s="72">
        <f t="shared" si="17"/>
        <v>6653368.170971955</v>
      </c>
    </row>
    <row r="85" spans="3:17" ht="12.75">
      <c r="C85" s="79">
        <f t="shared" si="18"/>
        <v>80</v>
      </c>
      <c r="D85" s="80">
        <f t="shared" si="19"/>
        <v>6653368.170971955</v>
      </c>
      <c r="E85" s="80"/>
      <c r="F85" s="80">
        <f t="shared" si="20"/>
        <v>99485.90313274493</v>
      </c>
      <c r="G85" s="80">
        <f t="shared" si="12"/>
        <v>58216.971496004604</v>
      </c>
      <c r="H85" s="80">
        <f t="shared" si="13"/>
        <v>41268.93163674033</v>
      </c>
      <c r="I85" s="72">
        <f t="shared" si="14"/>
        <v>6612099.239335215</v>
      </c>
      <c r="K85" s="79">
        <f t="shared" si="21"/>
        <v>80</v>
      </c>
      <c r="L85" s="80">
        <f t="shared" si="22"/>
        <v>6653368.170971955</v>
      </c>
      <c r="M85" s="80"/>
      <c r="N85" s="80">
        <f t="shared" si="23"/>
        <v>99485.90313274493</v>
      </c>
      <c r="O85" s="80">
        <f t="shared" si="15"/>
        <v>58216.971496004604</v>
      </c>
      <c r="P85" s="80">
        <f t="shared" si="16"/>
        <v>41268.93163674033</v>
      </c>
      <c r="Q85" s="72">
        <f t="shared" si="17"/>
        <v>6612099.239335215</v>
      </c>
    </row>
    <row r="86" spans="3:17" ht="12.75">
      <c r="C86" s="79">
        <f t="shared" si="18"/>
        <v>81</v>
      </c>
      <c r="D86" s="80">
        <f t="shared" si="19"/>
        <v>6612099.239335215</v>
      </c>
      <c r="E86" s="80"/>
      <c r="F86" s="80">
        <f t="shared" si="20"/>
        <v>99485.90313274493</v>
      </c>
      <c r="G86" s="80">
        <f t="shared" si="12"/>
        <v>57855.86834418313</v>
      </c>
      <c r="H86" s="80">
        <f t="shared" si="13"/>
        <v>41630.0347885618</v>
      </c>
      <c r="I86" s="72">
        <f t="shared" si="14"/>
        <v>6570469.204546653</v>
      </c>
      <c r="K86" s="79">
        <f t="shared" si="21"/>
        <v>81</v>
      </c>
      <c r="L86" s="80">
        <f t="shared" si="22"/>
        <v>6612099.239335215</v>
      </c>
      <c r="M86" s="80"/>
      <c r="N86" s="80">
        <f t="shared" si="23"/>
        <v>99485.90313274493</v>
      </c>
      <c r="O86" s="80">
        <f t="shared" si="15"/>
        <v>57855.86834418313</v>
      </c>
      <c r="P86" s="80">
        <f t="shared" si="16"/>
        <v>41630.0347885618</v>
      </c>
      <c r="Q86" s="72">
        <f t="shared" si="17"/>
        <v>6570469.204546653</v>
      </c>
    </row>
    <row r="87" spans="3:17" ht="12.75">
      <c r="C87" s="79">
        <f t="shared" si="18"/>
        <v>82</v>
      </c>
      <c r="D87" s="80">
        <f t="shared" si="19"/>
        <v>6570469.204546653</v>
      </c>
      <c r="E87" s="80"/>
      <c r="F87" s="80">
        <f t="shared" si="20"/>
        <v>99485.90313274493</v>
      </c>
      <c r="G87" s="80">
        <f t="shared" si="12"/>
        <v>57491.6055397832</v>
      </c>
      <c r="H87" s="80">
        <f t="shared" si="13"/>
        <v>41994.29759296173</v>
      </c>
      <c r="I87" s="72">
        <f t="shared" si="14"/>
        <v>6528474.906953691</v>
      </c>
      <c r="K87" s="79">
        <f t="shared" si="21"/>
        <v>82</v>
      </c>
      <c r="L87" s="80">
        <f t="shared" si="22"/>
        <v>6570469.204546653</v>
      </c>
      <c r="M87" s="80"/>
      <c r="N87" s="80">
        <f t="shared" si="23"/>
        <v>99485.90313274493</v>
      </c>
      <c r="O87" s="80">
        <f t="shared" si="15"/>
        <v>57491.6055397832</v>
      </c>
      <c r="P87" s="80">
        <f t="shared" si="16"/>
        <v>41994.29759296173</v>
      </c>
      <c r="Q87" s="72">
        <f t="shared" si="17"/>
        <v>6528474.906953691</v>
      </c>
    </row>
    <row r="88" spans="3:17" ht="12.75">
      <c r="C88" s="79">
        <f t="shared" si="18"/>
        <v>83</v>
      </c>
      <c r="D88" s="80">
        <f t="shared" si="19"/>
        <v>6528474.906953691</v>
      </c>
      <c r="E88" s="80"/>
      <c r="F88" s="80">
        <f t="shared" si="20"/>
        <v>99485.90313274493</v>
      </c>
      <c r="G88" s="80">
        <f t="shared" si="12"/>
        <v>57124.15543584479</v>
      </c>
      <c r="H88" s="80">
        <f t="shared" si="13"/>
        <v>42361.74769690014</v>
      </c>
      <c r="I88" s="72">
        <f t="shared" si="14"/>
        <v>6486113.159256791</v>
      </c>
      <c r="K88" s="79">
        <f t="shared" si="21"/>
        <v>83</v>
      </c>
      <c r="L88" s="80">
        <f t="shared" si="22"/>
        <v>6528474.906953691</v>
      </c>
      <c r="M88" s="80"/>
      <c r="N88" s="80">
        <f t="shared" si="23"/>
        <v>99485.90313274493</v>
      </c>
      <c r="O88" s="80">
        <f t="shared" si="15"/>
        <v>57124.15543584479</v>
      </c>
      <c r="P88" s="80">
        <f t="shared" si="16"/>
        <v>42361.74769690014</v>
      </c>
      <c r="Q88" s="72">
        <f t="shared" si="17"/>
        <v>6486113.159256791</v>
      </c>
    </row>
    <row r="89" spans="3:17" ht="12.75">
      <c r="C89" s="79">
        <f aca="true" t="shared" si="24" ref="C89:C104">+C88+1</f>
        <v>84</v>
      </c>
      <c r="D89" s="80">
        <f aca="true" t="shared" si="25" ref="D89:D104">+I88</f>
        <v>6486113.159256791</v>
      </c>
      <c r="E89" s="80"/>
      <c r="F89" s="80">
        <f aca="true" t="shared" si="26" ref="F89:F104">+F88</f>
        <v>99485.90313274493</v>
      </c>
      <c r="G89" s="80">
        <f aca="true" t="shared" si="27" ref="G89:G104">+D89*G$5/12</f>
        <v>56753.49014349692</v>
      </c>
      <c r="H89" s="80">
        <f aca="true" t="shared" si="28" ref="H89:H104">+F89-G89</f>
        <v>42732.41298924801</v>
      </c>
      <c r="I89" s="72">
        <f aca="true" t="shared" si="29" ref="I89:I104">+D89-H89</f>
        <v>6443380.746267543</v>
      </c>
      <c r="K89" s="79">
        <f t="shared" si="21"/>
        <v>84</v>
      </c>
      <c r="L89" s="80">
        <f t="shared" si="22"/>
        <v>6486113.159256791</v>
      </c>
      <c r="M89" s="80"/>
      <c r="N89" s="80">
        <f t="shared" si="23"/>
        <v>99485.90313274493</v>
      </c>
      <c r="O89" s="80">
        <f t="shared" si="15"/>
        <v>56753.49014349692</v>
      </c>
      <c r="P89" s="80">
        <f t="shared" si="16"/>
        <v>42732.41298924801</v>
      </c>
      <c r="Q89" s="72">
        <f t="shared" si="17"/>
        <v>6443380.746267543</v>
      </c>
    </row>
    <row r="90" spans="3:17" ht="12.75">
      <c r="C90" s="79">
        <f t="shared" si="24"/>
        <v>85</v>
      </c>
      <c r="D90" s="80">
        <f t="shared" si="25"/>
        <v>6443380.746267543</v>
      </c>
      <c r="E90" s="80"/>
      <c r="F90" s="80">
        <f t="shared" si="26"/>
        <v>99485.90313274493</v>
      </c>
      <c r="G90" s="80">
        <f t="shared" si="27"/>
        <v>56379.581529841</v>
      </c>
      <c r="H90" s="80">
        <f t="shared" si="28"/>
        <v>43106.32160290393</v>
      </c>
      <c r="I90" s="72">
        <f t="shared" si="29"/>
        <v>6400274.424664639</v>
      </c>
      <c r="K90" s="79">
        <f t="shared" si="21"/>
        <v>85</v>
      </c>
      <c r="L90" s="80">
        <f t="shared" si="22"/>
        <v>6443380.746267543</v>
      </c>
      <c r="M90" s="80"/>
      <c r="N90" s="80">
        <f t="shared" si="23"/>
        <v>99485.90313274493</v>
      </c>
      <c r="O90" s="80">
        <f t="shared" si="15"/>
        <v>56379.581529841</v>
      </c>
      <c r="P90" s="80">
        <f t="shared" si="16"/>
        <v>43106.32160290393</v>
      </c>
      <c r="Q90" s="72">
        <f t="shared" si="17"/>
        <v>6400274.424664639</v>
      </c>
    </row>
    <row r="91" spans="3:17" ht="12.75">
      <c r="C91" s="79">
        <f t="shared" si="24"/>
        <v>86</v>
      </c>
      <c r="D91" s="80">
        <f t="shared" si="25"/>
        <v>6400274.424664639</v>
      </c>
      <c r="E91" s="80"/>
      <c r="F91" s="80">
        <f t="shared" si="26"/>
        <v>99485.90313274493</v>
      </c>
      <c r="G91" s="80">
        <f t="shared" si="27"/>
        <v>56002.40121581559</v>
      </c>
      <c r="H91" s="80">
        <f t="shared" si="28"/>
        <v>43483.501916929345</v>
      </c>
      <c r="I91" s="72">
        <f t="shared" si="29"/>
        <v>6356790.92274771</v>
      </c>
      <c r="K91" s="79">
        <f t="shared" si="21"/>
        <v>86</v>
      </c>
      <c r="L91" s="80">
        <f t="shared" si="22"/>
        <v>6400274.424664639</v>
      </c>
      <c r="M91" s="80"/>
      <c r="N91" s="80">
        <f t="shared" si="23"/>
        <v>99485.90313274493</v>
      </c>
      <c r="O91" s="80">
        <f t="shared" si="15"/>
        <v>56002.40121581559</v>
      </c>
      <c r="P91" s="80">
        <f t="shared" si="16"/>
        <v>43483.501916929345</v>
      </c>
      <c r="Q91" s="72">
        <f t="shared" si="17"/>
        <v>6356790.92274771</v>
      </c>
    </row>
    <row r="92" spans="3:17" ht="12.75">
      <c r="C92" s="79">
        <f t="shared" si="24"/>
        <v>87</v>
      </c>
      <c r="D92" s="80">
        <f t="shared" si="25"/>
        <v>6356790.92274771</v>
      </c>
      <c r="E92" s="80"/>
      <c r="F92" s="80">
        <f t="shared" si="26"/>
        <v>99485.90313274493</v>
      </c>
      <c r="G92" s="80">
        <f t="shared" si="27"/>
        <v>55621.92057404246</v>
      </c>
      <c r="H92" s="80">
        <f t="shared" si="28"/>
        <v>43863.982558702475</v>
      </c>
      <c r="I92" s="72">
        <f t="shared" si="29"/>
        <v>6312926.940189008</v>
      </c>
      <c r="K92" s="79">
        <f t="shared" si="21"/>
        <v>87</v>
      </c>
      <c r="L92" s="80">
        <f t="shared" si="22"/>
        <v>6356790.92274771</v>
      </c>
      <c r="M92" s="80"/>
      <c r="N92" s="80">
        <f t="shared" si="23"/>
        <v>99485.90313274493</v>
      </c>
      <c r="O92" s="80">
        <f t="shared" si="15"/>
        <v>55621.92057404246</v>
      </c>
      <c r="P92" s="80">
        <f t="shared" si="16"/>
        <v>43863.982558702475</v>
      </c>
      <c r="Q92" s="72">
        <f t="shared" si="17"/>
        <v>6312926.940189008</v>
      </c>
    </row>
    <row r="93" spans="3:17" ht="12.75">
      <c r="C93" s="79">
        <f t="shared" si="24"/>
        <v>88</v>
      </c>
      <c r="D93" s="80">
        <f t="shared" si="25"/>
        <v>6312926.940189008</v>
      </c>
      <c r="E93" s="80"/>
      <c r="F93" s="80">
        <f t="shared" si="26"/>
        <v>99485.90313274493</v>
      </c>
      <c r="G93" s="80">
        <f t="shared" si="27"/>
        <v>55238.11072665381</v>
      </c>
      <c r="H93" s="80">
        <f t="shared" si="28"/>
        <v>44247.792406091125</v>
      </c>
      <c r="I93" s="72">
        <f t="shared" si="29"/>
        <v>6268679.147782916</v>
      </c>
      <c r="K93" s="79">
        <f t="shared" si="21"/>
        <v>88</v>
      </c>
      <c r="L93" s="80">
        <f t="shared" si="22"/>
        <v>6312926.940189008</v>
      </c>
      <c r="M93" s="80"/>
      <c r="N93" s="80">
        <f t="shared" si="23"/>
        <v>99485.90313274493</v>
      </c>
      <c r="O93" s="80">
        <f t="shared" si="15"/>
        <v>55238.11072665381</v>
      </c>
      <c r="P93" s="80">
        <f t="shared" si="16"/>
        <v>44247.792406091125</v>
      </c>
      <c r="Q93" s="72">
        <f t="shared" si="17"/>
        <v>6268679.147782916</v>
      </c>
    </row>
    <row r="94" spans="3:17" ht="12.75">
      <c r="C94" s="79">
        <f t="shared" si="24"/>
        <v>89</v>
      </c>
      <c r="D94" s="80">
        <f t="shared" si="25"/>
        <v>6268679.147782916</v>
      </c>
      <c r="E94" s="80"/>
      <c r="F94" s="80">
        <f t="shared" si="26"/>
        <v>99485.90313274493</v>
      </c>
      <c r="G94" s="80">
        <f t="shared" si="27"/>
        <v>54850.942543100515</v>
      </c>
      <c r="H94" s="80">
        <f t="shared" si="28"/>
        <v>44634.96058964442</v>
      </c>
      <c r="I94" s="72">
        <f t="shared" si="29"/>
        <v>6224044.187193272</v>
      </c>
      <c r="K94" s="79">
        <f t="shared" si="21"/>
        <v>89</v>
      </c>
      <c r="L94" s="80">
        <f t="shared" si="22"/>
        <v>6268679.147782916</v>
      </c>
      <c r="M94" s="80"/>
      <c r="N94" s="80">
        <f t="shared" si="23"/>
        <v>99485.90313274493</v>
      </c>
      <c r="O94" s="80">
        <f t="shared" si="15"/>
        <v>54850.942543100515</v>
      </c>
      <c r="P94" s="80">
        <f t="shared" si="16"/>
        <v>44634.96058964442</v>
      </c>
      <c r="Q94" s="72">
        <f t="shared" si="17"/>
        <v>6224044.187193272</v>
      </c>
    </row>
    <row r="95" spans="3:17" ht="12.75">
      <c r="C95" s="79">
        <f t="shared" si="24"/>
        <v>90</v>
      </c>
      <c r="D95" s="80">
        <f t="shared" si="25"/>
        <v>6224044.187193272</v>
      </c>
      <c r="E95" s="80"/>
      <c r="F95" s="80">
        <f t="shared" si="26"/>
        <v>99485.90313274493</v>
      </c>
      <c r="G95" s="80">
        <f t="shared" si="27"/>
        <v>54460.38663794113</v>
      </c>
      <c r="H95" s="80">
        <f t="shared" si="28"/>
        <v>45025.51649480381</v>
      </c>
      <c r="I95" s="72">
        <f t="shared" si="29"/>
        <v>6179018.670698468</v>
      </c>
      <c r="K95" s="79">
        <f t="shared" si="21"/>
        <v>90</v>
      </c>
      <c r="L95" s="80">
        <f t="shared" si="22"/>
        <v>6224044.187193272</v>
      </c>
      <c r="M95" s="80"/>
      <c r="N95" s="80">
        <f t="shared" si="23"/>
        <v>99485.90313274493</v>
      </c>
      <c r="O95" s="80">
        <f t="shared" si="15"/>
        <v>54460.38663794113</v>
      </c>
      <c r="P95" s="80">
        <f t="shared" si="16"/>
        <v>45025.51649480381</v>
      </c>
      <c r="Q95" s="72">
        <f t="shared" si="17"/>
        <v>6179018.670698468</v>
      </c>
    </row>
    <row r="96" spans="3:17" ht="12.75">
      <c r="C96" s="79">
        <f t="shared" si="24"/>
        <v>91</v>
      </c>
      <c r="D96" s="80">
        <f t="shared" si="25"/>
        <v>6179018.670698468</v>
      </c>
      <c r="E96" s="80"/>
      <c r="F96" s="80">
        <f t="shared" si="26"/>
        <v>99485.90313274493</v>
      </c>
      <c r="G96" s="80">
        <f t="shared" si="27"/>
        <v>54066.41336861159</v>
      </c>
      <c r="H96" s="80">
        <f t="shared" si="28"/>
        <v>45419.489764133345</v>
      </c>
      <c r="I96" s="72">
        <f t="shared" si="29"/>
        <v>6133599.180934334</v>
      </c>
      <c r="K96" s="79">
        <f t="shared" si="21"/>
        <v>91</v>
      </c>
      <c r="L96" s="80">
        <f t="shared" si="22"/>
        <v>6179018.670698468</v>
      </c>
      <c r="M96" s="80"/>
      <c r="N96" s="80">
        <f t="shared" si="23"/>
        <v>99485.90313274493</v>
      </c>
      <c r="O96" s="80">
        <f t="shared" si="15"/>
        <v>54066.41336861159</v>
      </c>
      <c r="P96" s="80">
        <f t="shared" si="16"/>
        <v>45419.489764133345</v>
      </c>
      <c r="Q96" s="72">
        <f t="shared" si="17"/>
        <v>6133599.180934334</v>
      </c>
    </row>
    <row r="97" spans="3:17" ht="12.75">
      <c r="C97" s="79">
        <f t="shared" si="24"/>
        <v>92</v>
      </c>
      <c r="D97" s="80">
        <f t="shared" si="25"/>
        <v>6133599.180934334</v>
      </c>
      <c r="E97" s="80"/>
      <c r="F97" s="80">
        <f t="shared" si="26"/>
        <v>99485.90313274493</v>
      </c>
      <c r="G97" s="80">
        <f t="shared" si="27"/>
        <v>53668.99283317543</v>
      </c>
      <c r="H97" s="80">
        <f t="shared" si="28"/>
        <v>45816.91029956951</v>
      </c>
      <c r="I97" s="72">
        <f t="shared" si="29"/>
        <v>6087782.270634765</v>
      </c>
      <c r="K97" s="79">
        <f t="shared" si="21"/>
        <v>92</v>
      </c>
      <c r="L97" s="80">
        <f t="shared" si="22"/>
        <v>6133599.180934334</v>
      </c>
      <c r="M97" s="80"/>
      <c r="N97" s="80">
        <f t="shared" si="23"/>
        <v>99485.90313274493</v>
      </c>
      <c r="O97" s="80">
        <f t="shared" si="15"/>
        <v>53668.99283317543</v>
      </c>
      <c r="P97" s="80">
        <f t="shared" si="16"/>
        <v>45816.91029956951</v>
      </c>
      <c r="Q97" s="72">
        <f t="shared" si="17"/>
        <v>6087782.270634765</v>
      </c>
    </row>
    <row r="98" spans="3:17" ht="12.75">
      <c r="C98" s="79">
        <f t="shared" si="24"/>
        <v>93</v>
      </c>
      <c r="D98" s="80">
        <f t="shared" si="25"/>
        <v>6087782.270634765</v>
      </c>
      <c r="E98" s="80"/>
      <c r="F98" s="80">
        <f t="shared" si="26"/>
        <v>99485.90313274493</v>
      </c>
      <c r="G98" s="80">
        <f t="shared" si="27"/>
        <v>53268.094868054184</v>
      </c>
      <c r="H98" s="80">
        <f t="shared" si="28"/>
        <v>46217.80826469075</v>
      </c>
      <c r="I98" s="72">
        <f t="shared" si="29"/>
        <v>6041564.462370074</v>
      </c>
      <c r="K98" s="79">
        <f t="shared" si="21"/>
        <v>93</v>
      </c>
      <c r="L98" s="80">
        <f t="shared" si="22"/>
        <v>6087782.270634765</v>
      </c>
      <c r="M98" s="80"/>
      <c r="N98" s="80">
        <f t="shared" si="23"/>
        <v>99485.90313274493</v>
      </c>
      <c r="O98" s="80">
        <f t="shared" si="15"/>
        <v>53268.094868054184</v>
      </c>
      <c r="P98" s="80">
        <f t="shared" si="16"/>
        <v>46217.80826469075</v>
      </c>
      <c r="Q98" s="72">
        <f t="shared" si="17"/>
        <v>6041564.462370074</v>
      </c>
    </row>
    <row r="99" spans="3:17" ht="12.75">
      <c r="C99" s="79">
        <f t="shared" si="24"/>
        <v>94</v>
      </c>
      <c r="D99" s="80">
        <f t="shared" si="25"/>
        <v>6041564.462370074</v>
      </c>
      <c r="E99" s="80"/>
      <c r="F99" s="80">
        <f t="shared" si="26"/>
        <v>99485.90313274493</v>
      </c>
      <c r="G99" s="80">
        <f t="shared" si="27"/>
        <v>52863.689045738145</v>
      </c>
      <c r="H99" s="80">
        <f t="shared" si="28"/>
        <v>46622.21408700679</v>
      </c>
      <c r="I99" s="72">
        <f t="shared" si="29"/>
        <v>5994942.248283068</v>
      </c>
      <c r="K99" s="79">
        <f t="shared" si="21"/>
        <v>94</v>
      </c>
      <c r="L99" s="80">
        <f t="shared" si="22"/>
        <v>6041564.462370074</v>
      </c>
      <c r="M99" s="80"/>
      <c r="N99" s="80">
        <f t="shared" si="23"/>
        <v>99485.90313274493</v>
      </c>
      <c r="O99" s="80">
        <f t="shared" si="15"/>
        <v>52863.689045738145</v>
      </c>
      <c r="P99" s="80">
        <f t="shared" si="16"/>
        <v>46622.21408700679</v>
      </c>
      <c r="Q99" s="72">
        <f t="shared" si="17"/>
        <v>5994942.248283068</v>
      </c>
    </row>
    <row r="100" spans="3:17" ht="12.75">
      <c r="C100" s="79">
        <f t="shared" si="24"/>
        <v>95</v>
      </c>
      <c r="D100" s="80">
        <f t="shared" si="25"/>
        <v>5994942.248283068</v>
      </c>
      <c r="E100" s="80"/>
      <c r="F100" s="80">
        <f t="shared" si="26"/>
        <v>99485.90313274493</v>
      </c>
      <c r="G100" s="80">
        <f t="shared" si="27"/>
        <v>52455.74467247684</v>
      </c>
      <c r="H100" s="80">
        <f t="shared" si="28"/>
        <v>47030.158460268096</v>
      </c>
      <c r="I100" s="72">
        <f t="shared" si="29"/>
        <v>5947912.0898228</v>
      </c>
      <c r="K100" s="79">
        <f t="shared" si="21"/>
        <v>95</v>
      </c>
      <c r="L100" s="80">
        <f t="shared" si="22"/>
        <v>5994942.248283068</v>
      </c>
      <c r="M100" s="80"/>
      <c r="N100" s="80">
        <f t="shared" si="23"/>
        <v>99485.90313274493</v>
      </c>
      <c r="O100" s="80">
        <f t="shared" si="15"/>
        <v>52455.74467247684</v>
      </c>
      <c r="P100" s="80">
        <f t="shared" si="16"/>
        <v>47030.158460268096</v>
      </c>
      <c r="Q100" s="72">
        <f t="shared" si="17"/>
        <v>5947912.0898228</v>
      </c>
    </row>
    <row r="101" spans="3:17" ht="12.75">
      <c r="C101" s="79">
        <f t="shared" si="24"/>
        <v>96</v>
      </c>
      <c r="D101" s="80">
        <f t="shared" si="25"/>
        <v>5947912.0898228</v>
      </c>
      <c r="E101" s="80"/>
      <c r="F101" s="80">
        <f t="shared" si="26"/>
        <v>99485.90313274493</v>
      </c>
      <c r="G101" s="80">
        <f t="shared" si="27"/>
        <v>52044.2307859495</v>
      </c>
      <c r="H101" s="80">
        <f t="shared" si="28"/>
        <v>47441.672346795436</v>
      </c>
      <c r="I101" s="72">
        <f t="shared" si="29"/>
        <v>5900470.417476005</v>
      </c>
      <c r="K101" s="79">
        <f t="shared" si="21"/>
        <v>96</v>
      </c>
      <c r="L101" s="80">
        <f t="shared" si="22"/>
        <v>5947912.0898228</v>
      </c>
      <c r="M101" s="80"/>
      <c r="N101" s="80">
        <f t="shared" si="23"/>
        <v>99485.90313274493</v>
      </c>
      <c r="O101" s="80">
        <f t="shared" si="15"/>
        <v>52044.2307859495</v>
      </c>
      <c r="P101" s="80">
        <f t="shared" si="16"/>
        <v>47441.672346795436</v>
      </c>
      <c r="Q101" s="72">
        <f t="shared" si="17"/>
        <v>5900470.417476005</v>
      </c>
    </row>
    <row r="102" spans="3:17" ht="12.75">
      <c r="C102" s="79"/>
      <c r="D102" s="80"/>
      <c r="E102" s="80"/>
      <c r="F102" s="80"/>
      <c r="G102" s="80"/>
      <c r="H102" s="80"/>
      <c r="I102" s="72"/>
      <c r="K102" s="79"/>
      <c r="L102" s="80"/>
      <c r="M102" s="80"/>
      <c r="N102" s="80"/>
      <c r="O102" s="80"/>
      <c r="P102" s="80"/>
      <c r="Q102" s="72"/>
    </row>
    <row r="103" spans="3:17" ht="12.75">
      <c r="C103" s="79">
        <f>+C101+1</f>
        <v>97</v>
      </c>
      <c r="D103" s="80">
        <f>+I101</f>
        <v>5900470.417476005</v>
      </c>
      <c r="E103" s="80"/>
      <c r="F103" s="80">
        <f>+F101</f>
        <v>99485.90313274493</v>
      </c>
      <c r="G103" s="80">
        <f t="shared" si="27"/>
        <v>51629.116152915034</v>
      </c>
      <c r="H103" s="80">
        <f t="shared" si="28"/>
        <v>47856.7869798299</v>
      </c>
      <c r="I103" s="72">
        <f t="shared" si="29"/>
        <v>5852613.630496175</v>
      </c>
      <c r="K103" s="79">
        <f>+K101+1</f>
        <v>97</v>
      </c>
      <c r="L103" s="80">
        <f>+Q101</f>
        <v>5900470.417476005</v>
      </c>
      <c r="M103" s="80"/>
      <c r="N103" s="80">
        <f>+'life cycle  EXAMPLE'!G80</f>
        <v>191779.70639508878</v>
      </c>
      <c r="O103" s="80">
        <f aca="true" t="shared" si="30" ref="O103:O138">+L103*O$5/12</f>
        <v>51629.116152915034</v>
      </c>
      <c r="P103" s="80">
        <f aca="true" t="shared" si="31" ref="P103:P138">+N103-O103</f>
        <v>140150.59024217376</v>
      </c>
      <c r="Q103" s="72">
        <f aca="true" t="shared" si="32" ref="Q103:Q138">+L103-P103</f>
        <v>5760319.827233831</v>
      </c>
    </row>
    <row r="104" spans="3:17" ht="12.75">
      <c r="C104" s="79">
        <f t="shared" si="24"/>
        <v>98</v>
      </c>
      <c r="D104" s="80">
        <f t="shared" si="25"/>
        <v>5852613.630496175</v>
      </c>
      <c r="E104" s="80"/>
      <c r="F104" s="80">
        <f t="shared" si="26"/>
        <v>99485.90313274493</v>
      </c>
      <c r="G104" s="80">
        <f t="shared" si="27"/>
        <v>51210.36926684153</v>
      </c>
      <c r="H104" s="80">
        <f t="shared" si="28"/>
        <v>48275.5338659034</v>
      </c>
      <c r="I104" s="72">
        <f t="shared" si="29"/>
        <v>5804338.0966302715</v>
      </c>
      <c r="K104" s="79">
        <f aca="true" t="shared" si="33" ref="K104:K138">+K103+1</f>
        <v>98</v>
      </c>
      <c r="L104" s="80">
        <f aca="true" t="shared" si="34" ref="L104:L138">+Q103</f>
        <v>5760319.827233831</v>
      </c>
      <c r="M104" s="80"/>
      <c r="N104" s="80">
        <f aca="true" t="shared" si="35" ref="N104:N138">+N103</f>
        <v>191779.70639508878</v>
      </c>
      <c r="O104" s="80">
        <f t="shared" si="30"/>
        <v>50402.79848829602</v>
      </c>
      <c r="P104" s="80">
        <f t="shared" si="31"/>
        <v>141376.90790679277</v>
      </c>
      <c r="Q104" s="72">
        <f t="shared" si="32"/>
        <v>5618942.919327038</v>
      </c>
    </row>
    <row r="105" spans="3:17" ht="12.75">
      <c r="C105" s="79">
        <f aca="true" t="shared" si="36" ref="C105:C135">+C104+1</f>
        <v>99</v>
      </c>
      <c r="D105" s="80">
        <f aca="true" t="shared" si="37" ref="D105:D135">+I104</f>
        <v>5804338.0966302715</v>
      </c>
      <c r="E105" s="80"/>
      <c r="F105" s="80">
        <f aca="true" t="shared" si="38" ref="F105:F135">+F104</f>
        <v>99485.90313274493</v>
      </c>
      <c r="G105" s="80">
        <f aca="true" t="shared" si="39" ref="G105:G135">+D105*G$5/12</f>
        <v>50787.958345514875</v>
      </c>
      <c r="H105" s="80">
        <f aca="true" t="shared" si="40" ref="H105:H135">+F105-G105</f>
        <v>48697.94478723006</v>
      </c>
      <c r="I105" s="72">
        <f aca="true" t="shared" si="41" ref="I105:I135">+D105-H105</f>
        <v>5755640.151843041</v>
      </c>
      <c r="K105" s="79">
        <f t="shared" si="33"/>
        <v>99</v>
      </c>
      <c r="L105" s="80">
        <f t="shared" si="34"/>
        <v>5618942.919327038</v>
      </c>
      <c r="M105" s="80"/>
      <c r="N105" s="80">
        <f t="shared" si="35"/>
        <v>191779.70639508878</v>
      </c>
      <c r="O105" s="80">
        <f t="shared" si="30"/>
        <v>49165.750544111586</v>
      </c>
      <c r="P105" s="80">
        <f t="shared" si="31"/>
        <v>142613.9558509772</v>
      </c>
      <c r="Q105" s="72">
        <f t="shared" si="32"/>
        <v>5476328.963476061</v>
      </c>
    </row>
    <row r="106" spans="3:17" ht="12.75">
      <c r="C106" s="79">
        <f t="shared" si="36"/>
        <v>100</v>
      </c>
      <c r="D106" s="80">
        <f t="shared" si="37"/>
        <v>5755640.151843041</v>
      </c>
      <c r="E106" s="80"/>
      <c r="F106" s="80">
        <f t="shared" si="38"/>
        <v>99485.90313274493</v>
      </c>
      <c r="G106" s="80">
        <f t="shared" si="39"/>
        <v>50361.8513286266</v>
      </c>
      <c r="H106" s="80">
        <f t="shared" si="40"/>
        <v>49124.05180411833</v>
      </c>
      <c r="I106" s="72">
        <f t="shared" si="41"/>
        <v>5706516.100038922</v>
      </c>
      <c r="K106" s="79">
        <f t="shared" si="33"/>
        <v>100</v>
      </c>
      <c r="L106" s="80">
        <f t="shared" si="34"/>
        <v>5476328.963476061</v>
      </c>
      <c r="M106" s="80"/>
      <c r="N106" s="80">
        <f t="shared" si="35"/>
        <v>191779.70639508878</v>
      </c>
      <c r="O106" s="80">
        <f t="shared" si="30"/>
        <v>47917.87843041553</v>
      </c>
      <c r="P106" s="80">
        <f t="shared" si="31"/>
        <v>143861.82796467326</v>
      </c>
      <c r="Q106" s="72">
        <f t="shared" si="32"/>
        <v>5332467.135511388</v>
      </c>
    </row>
    <row r="107" spans="3:17" ht="12.75">
      <c r="C107" s="79">
        <f t="shared" si="36"/>
        <v>101</v>
      </c>
      <c r="D107" s="80">
        <f t="shared" si="37"/>
        <v>5706516.100038922</v>
      </c>
      <c r="E107" s="80"/>
      <c r="F107" s="80">
        <f t="shared" si="38"/>
        <v>99485.90313274493</v>
      </c>
      <c r="G107" s="80">
        <f t="shared" si="39"/>
        <v>49932.01587534056</v>
      </c>
      <c r="H107" s="80">
        <f t="shared" si="40"/>
        <v>49553.88725740437</v>
      </c>
      <c r="I107" s="72">
        <f t="shared" si="41"/>
        <v>5656962.212781518</v>
      </c>
      <c r="K107" s="79">
        <f t="shared" si="33"/>
        <v>101</v>
      </c>
      <c r="L107" s="80">
        <f t="shared" si="34"/>
        <v>5332467.135511388</v>
      </c>
      <c r="M107" s="80"/>
      <c r="N107" s="80">
        <f t="shared" si="35"/>
        <v>191779.70639508878</v>
      </c>
      <c r="O107" s="80">
        <f t="shared" si="30"/>
        <v>46659.08743572464</v>
      </c>
      <c r="P107" s="80">
        <f t="shared" si="31"/>
        <v>145120.61895936413</v>
      </c>
      <c r="Q107" s="72">
        <f t="shared" si="32"/>
        <v>5187346.516552024</v>
      </c>
    </row>
    <row r="108" spans="3:17" ht="12.75">
      <c r="C108" s="79">
        <f t="shared" si="36"/>
        <v>102</v>
      </c>
      <c r="D108" s="80">
        <f t="shared" si="37"/>
        <v>5656962.212781518</v>
      </c>
      <c r="E108" s="80"/>
      <c r="F108" s="80">
        <f t="shared" si="38"/>
        <v>99485.90313274493</v>
      </c>
      <c r="G108" s="80">
        <f t="shared" si="39"/>
        <v>49498.41936183828</v>
      </c>
      <c r="H108" s="80">
        <f t="shared" si="40"/>
        <v>49987.483770906656</v>
      </c>
      <c r="I108" s="72">
        <f t="shared" si="41"/>
        <v>5606974.729010611</v>
      </c>
      <c r="K108" s="79">
        <f t="shared" si="33"/>
        <v>102</v>
      </c>
      <c r="L108" s="80">
        <f t="shared" si="34"/>
        <v>5187346.516552024</v>
      </c>
      <c r="M108" s="80"/>
      <c r="N108" s="80">
        <f t="shared" si="35"/>
        <v>191779.70639508878</v>
      </c>
      <c r="O108" s="80">
        <f t="shared" si="30"/>
        <v>45389.2820198302</v>
      </c>
      <c r="P108" s="80">
        <f t="shared" si="31"/>
        <v>146390.4243752586</v>
      </c>
      <c r="Q108" s="72">
        <f t="shared" si="32"/>
        <v>5040956.092176765</v>
      </c>
    </row>
    <row r="109" spans="3:17" ht="12.75">
      <c r="C109" s="79">
        <f t="shared" si="36"/>
        <v>103</v>
      </c>
      <c r="D109" s="80">
        <f t="shared" si="37"/>
        <v>5606974.729010611</v>
      </c>
      <c r="E109" s="80"/>
      <c r="F109" s="80">
        <f t="shared" si="38"/>
        <v>99485.90313274493</v>
      </c>
      <c r="G109" s="80">
        <f t="shared" si="39"/>
        <v>49061.02887884284</v>
      </c>
      <c r="H109" s="80">
        <f t="shared" si="40"/>
        <v>50424.8742539021</v>
      </c>
      <c r="I109" s="72">
        <f t="shared" si="41"/>
        <v>5556549.854756709</v>
      </c>
      <c r="K109" s="79">
        <f t="shared" si="33"/>
        <v>103</v>
      </c>
      <c r="L109" s="80">
        <f t="shared" si="34"/>
        <v>5040956.092176765</v>
      </c>
      <c r="M109" s="80"/>
      <c r="N109" s="80">
        <f t="shared" si="35"/>
        <v>191779.70639508878</v>
      </c>
      <c r="O109" s="80">
        <f t="shared" si="30"/>
        <v>44108.365806546695</v>
      </c>
      <c r="P109" s="80">
        <f t="shared" si="31"/>
        <v>147671.34058854208</v>
      </c>
      <c r="Q109" s="72">
        <f t="shared" si="32"/>
        <v>4893284.7515882235</v>
      </c>
    </row>
    <row r="110" spans="3:17" ht="12.75">
      <c r="C110" s="79">
        <f t="shared" si="36"/>
        <v>104</v>
      </c>
      <c r="D110" s="80">
        <f t="shared" si="37"/>
        <v>5556549.854756709</v>
      </c>
      <c r="E110" s="80"/>
      <c r="F110" s="80">
        <f t="shared" si="38"/>
        <v>99485.90313274493</v>
      </c>
      <c r="G110" s="80">
        <f t="shared" si="39"/>
        <v>48619.8112291212</v>
      </c>
      <c r="H110" s="80">
        <f t="shared" si="40"/>
        <v>50866.09190362373</v>
      </c>
      <c r="I110" s="72">
        <f t="shared" si="41"/>
        <v>5505683.762853085</v>
      </c>
      <c r="K110" s="79">
        <f t="shared" si="33"/>
        <v>104</v>
      </c>
      <c r="L110" s="80">
        <f t="shared" si="34"/>
        <v>4893284.7515882235</v>
      </c>
      <c r="M110" s="80"/>
      <c r="N110" s="80">
        <f t="shared" si="35"/>
        <v>191779.70639508878</v>
      </c>
      <c r="O110" s="80">
        <f t="shared" si="30"/>
        <v>42816.241576396955</v>
      </c>
      <c r="P110" s="80">
        <f t="shared" si="31"/>
        <v>148963.46481869183</v>
      </c>
      <c r="Q110" s="72">
        <f t="shared" si="32"/>
        <v>4744321.286769532</v>
      </c>
    </row>
    <row r="111" spans="3:17" ht="12.75">
      <c r="C111" s="79">
        <f t="shared" si="36"/>
        <v>105</v>
      </c>
      <c r="D111" s="80">
        <f t="shared" si="37"/>
        <v>5505683.762853085</v>
      </c>
      <c r="E111" s="80"/>
      <c r="F111" s="80">
        <f t="shared" si="38"/>
        <v>99485.90313274493</v>
      </c>
      <c r="G111" s="80">
        <f t="shared" si="39"/>
        <v>48174.73292496449</v>
      </c>
      <c r="H111" s="80">
        <f t="shared" si="40"/>
        <v>51311.170207780444</v>
      </c>
      <c r="I111" s="72">
        <f t="shared" si="41"/>
        <v>5454372.592645304</v>
      </c>
      <c r="K111" s="79">
        <f t="shared" si="33"/>
        <v>105</v>
      </c>
      <c r="L111" s="80">
        <f t="shared" si="34"/>
        <v>4744321.286769532</v>
      </c>
      <c r="M111" s="80"/>
      <c r="N111" s="80">
        <f t="shared" si="35"/>
        <v>191779.70639508878</v>
      </c>
      <c r="O111" s="80">
        <f t="shared" si="30"/>
        <v>41512.8112592334</v>
      </c>
      <c r="P111" s="80">
        <f t="shared" si="31"/>
        <v>150266.8951358554</v>
      </c>
      <c r="Q111" s="72">
        <f t="shared" si="32"/>
        <v>4594054.391633676</v>
      </c>
    </row>
    <row r="112" spans="3:17" ht="12.75">
      <c r="C112" s="79">
        <f t="shared" si="36"/>
        <v>106</v>
      </c>
      <c r="D112" s="80">
        <f t="shared" si="37"/>
        <v>5454372.592645304</v>
      </c>
      <c r="E112" s="80"/>
      <c r="F112" s="80">
        <f t="shared" si="38"/>
        <v>99485.90313274493</v>
      </c>
      <c r="G112" s="80">
        <f t="shared" si="39"/>
        <v>47725.76018564641</v>
      </c>
      <c r="H112" s="80">
        <f t="shared" si="40"/>
        <v>51760.142947098524</v>
      </c>
      <c r="I112" s="72">
        <f t="shared" si="41"/>
        <v>5402612.449698206</v>
      </c>
      <c r="K112" s="79">
        <f t="shared" si="33"/>
        <v>106</v>
      </c>
      <c r="L112" s="80">
        <f t="shared" si="34"/>
        <v>4594054.391633676</v>
      </c>
      <c r="M112" s="80"/>
      <c r="N112" s="80">
        <f t="shared" si="35"/>
        <v>191779.70639508878</v>
      </c>
      <c r="O112" s="80">
        <f t="shared" si="30"/>
        <v>40197.975926794665</v>
      </c>
      <c r="P112" s="80">
        <f t="shared" si="31"/>
        <v>151581.73046829412</v>
      </c>
      <c r="Q112" s="72">
        <f t="shared" si="32"/>
        <v>4442472.661165383</v>
      </c>
    </row>
    <row r="113" spans="3:17" ht="12.75">
      <c r="C113" s="79">
        <f t="shared" si="36"/>
        <v>107</v>
      </c>
      <c r="D113" s="80">
        <f t="shared" si="37"/>
        <v>5402612.449698206</v>
      </c>
      <c r="E113" s="80"/>
      <c r="F113" s="80">
        <f t="shared" si="38"/>
        <v>99485.90313274493</v>
      </c>
      <c r="G113" s="80">
        <f t="shared" si="39"/>
        <v>47272.8589348593</v>
      </c>
      <c r="H113" s="80">
        <f t="shared" si="40"/>
        <v>52213.04419788563</v>
      </c>
      <c r="I113" s="72">
        <f t="shared" si="41"/>
        <v>5350399.405500321</v>
      </c>
      <c r="K113" s="79">
        <f t="shared" si="33"/>
        <v>107</v>
      </c>
      <c r="L113" s="80">
        <f t="shared" si="34"/>
        <v>4442472.661165383</v>
      </c>
      <c r="M113" s="80"/>
      <c r="N113" s="80">
        <f t="shared" si="35"/>
        <v>191779.70639508878</v>
      </c>
      <c r="O113" s="80">
        <f t="shared" si="30"/>
        <v>38871.6357851971</v>
      </c>
      <c r="P113" s="80">
        <f t="shared" si="31"/>
        <v>152908.07060989167</v>
      </c>
      <c r="Q113" s="72">
        <f t="shared" si="32"/>
        <v>4289564.590555491</v>
      </c>
    </row>
    <row r="114" spans="3:17" ht="12.75">
      <c r="C114" s="79">
        <f t="shared" si="36"/>
        <v>108</v>
      </c>
      <c r="D114" s="80">
        <f t="shared" si="37"/>
        <v>5350399.405500321</v>
      </c>
      <c r="E114" s="80"/>
      <c r="F114" s="80">
        <f t="shared" si="38"/>
        <v>99485.90313274493</v>
      </c>
      <c r="G114" s="80">
        <f t="shared" si="39"/>
        <v>46815.9947981278</v>
      </c>
      <c r="H114" s="80">
        <f t="shared" si="40"/>
        <v>52669.90833461713</v>
      </c>
      <c r="I114" s="72">
        <f t="shared" si="41"/>
        <v>5297729.497165703</v>
      </c>
      <c r="K114" s="79">
        <f t="shared" si="33"/>
        <v>108</v>
      </c>
      <c r="L114" s="80">
        <f t="shared" si="34"/>
        <v>4289564.590555491</v>
      </c>
      <c r="M114" s="80"/>
      <c r="N114" s="80">
        <f t="shared" si="35"/>
        <v>191779.70639508878</v>
      </c>
      <c r="O114" s="80">
        <f t="shared" si="30"/>
        <v>37533.690167360546</v>
      </c>
      <c r="P114" s="80">
        <f t="shared" si="31"/>
        <v>154246.01622772822</v>
      </c>
      <c r="Q114" s="72">
        <f t="shared" si="32"/>
        <v>4135318.5743277627</v>
      </c>
    </row>
    <row r="115" spans="3:17" ht="12.75">
      <c r="C115" s="79">
        <f t="shared" si="36"/>
        <v>109</v>
      </c>
      <c r="D115" s="80">
        <f t="shared" si="37"/>
        <v>5297729.497165703</v>
      </c>
      <c r="E115" s="80"/>
      <c r="F115" s="80">
        <f t="shared" si="38"/>
        <v>99485.90313274493</v>
      </c>
      <c r="G115" s="80">
        <f t="shared" si="39"/>
        <v>46355.1331001999</v>
      </c>
      <c r="H115" s="80">
        <f t="shared" si="40"/>
        <v>53130.770032545035</v>
      </c>
      <c r="I115" s="72">
        <f t="shared" si="41"/>
        <v>5244598.727133159</v>
      </c>
      <c r="K115" s="79">
        <f t="shared" si="33"/>
        <v>109</v>
      </c>
      <c r="L115" s="80">
        <f t="shared" si="34"/>
        <v>4135318.5743277627</v>
      </c>
      <c r="M115" s="80"/>
      <c r="N115" s="80">
        <f t="shared" si="35"/>
        <v>191779.70639508878</v>
      </c>
      <c r="O115" s="80">
        <f t="shared" si="30"/>
        <v>36184.03752536792</v>
      </c>
      <c r="P115" s="80">
        <f t="shared" si="31"/>
        <v>155595.66886972086</v>
      </c>
      <c r="Q115" s="72">
        <f t="shared" si="32"/>
        <v>3979722.905458042</v>
      </c>
    </row>
    <row r="116" spans="3:17" ht="12.75">
      <c r="C116" s="79">
        <f t="shared" si="36"/>
        <v>110</v>
      </c>
      <c r="D116" s="80">
        <f t="shared" si="37"/>
        <v>5244598.727133159</v>
      </c>
      <c r="E116" s="80"/>
      <c r="F116" s="80">
        <f t="shared" si="38"/>
        <v>99485.90313274493</v>
      </c>
      <c r="G116" s="80">
        <f t="shared" si="39"/>
        <v>45890.238862415135</v>
      </c>
      <c r="H116" s="80">
        <f t="shared" si="40"/>
        <v>53595.6642703298</v>
      </c>
      <c r="I116" s="72">
        <f t="shared" si="41"/>
        <v>5191003.062862828</v>
      </c>
      <c r="K116" s="79">
        <f t="shared" si="33"/>
        <v>110</v>
      </c>
      <c r="L116" s="80">
        <f t="shared" si="34"/>
        <v>3979722.905458042</v>
      </c>
      <c r="M116" s="80"/>
      <c r="N116" s="80">
        <f t="shared" si="35"/>
        <v>191779.70639508878</v>
      </c>
      <c r="O116" s="80">
        <f t="shared" si="30"/>
        <v>34822.575422757865</v>
      </c>
      <c r="P116" s="80">
        <f t="shared" si="31"/>
        <v>156957.13097233092</v>
      </c>
      <c r="Q116" s="72">
        <f t="shared" si="32"/>
        <v>3822765.774485711</v>
      </c>
    </row>
    <row r="117" spans="3:17" ht="12.75">
      <c r="C117" s="79">
        <f t="shared" si="36"/>
        <v>111</v>
      </c>
      <c r="D117" s="80">
        <f t="shared" si="37"/>
        <v>5191003.062862828</v>
      </c>
      <c r="E117" s="80"/>
      <c r="F117" s="80">
        <f t="shared" si="38"/>
        <v>99485.90313274493</v>
      </c>
      <c r="G117" s="80">
        <f t="shared" si="39"/>
        <v>45421.27680004975</v>
      </c>
      <c r="H117" s="80">
        <f t="shared" si="40"/>
        <v>54064.62633269518</v>
      </c>
      <c r="I117" s="72">
        <f t="shared" si="41"/>
        <v>5136938.436530133</v>
      </c>
      <c r="K117" s="79">
        <f t="shared" si="33"/>
        <v>111</v>
      </c>
      <c r="L117" s="80">
        <f t="shared" si="34"/>
        <v>3822765.774485711</v>
      </c>
      <c r="M117" s="80"/>
      <c r="N117" s="80">
        <f t="shared" si="35"/>
        <v>191779.70639508878</v>
      </c>
      <c r="O117" s="80">
        <f t="shared" si="30"/>
        <v>33449.20052674997</v>
      </c>
      <c r="P117" s="80">
        <f t="shared" si="31"/>
        <v>158330.5058683388</v>
      </c>
      <c r="Q117" s="72">
        <f t="shared" si="32"/>
        <v>3664435.268617372</v>
      </c>
    </row>
    <row r="118" spans="3:17" ht="12.75">
      <c r="C118" s="79">
        <f t="shared" si="36"/>
        <v>112</v>
      </c>
      <c r="D118" s="80">
        <f t="shared" si="37"/>
        <v>5136938.436530133</v>
      </c>
      <c r="E118" s="80"/>
      <c r="F118" s="80">
        <f t="shared" si="38"/>
        <v>99485.90313274493</v>
      </c>
      <c r="G118" s="80">
        <f t="shared" si="39"/>
        <v>44948.211319638656</v>
      </c>
      <c r="H118" s="80">
        <f t="shared" si="40"/>
        <v>54537.69181310628</v>
      </c>
      <c r="I118" s="72">
        <f t="shared" si="41"/>
        <v>5082400.744717026</v>
      </c>
      <c r="K118" s="79">
        <f t="shared" si="33"/>
        <v>112</v>
      </c>
      <c r="L118" s="80">
        <f t="shared" si="34"/>
        <v>3664435.268617372</v>
      </c>
      <c r="M118" s="80"/>
      <c r="N118" s="80">
        <f t="shared" si="35"/>
        <v>191779.70639508878</v>
      </c>
      <c r="O118" s="80">
        <f t="shared" si="30"/>
        <v>32063.808600402004</v>
      </c>
      <c r="P118" s="80">
        <f t="shared" si="31"/>
        <v>159715.89779468678</v>
      </c>
      <c r="Q118" s="72">
        <f t="shared" si="32"/>
        <v>3504719.3708226853</v>
      </c>
    </row>
    <row r="119" spans="3:17" ht="12.75">
      <c r="C119" s="79">
        <f t="shared" si="36"/>
        <v>113</v>
      </c>
      <c r="D119" s="80">
        <f t="shared" si="37"/>
        <v>5082400.744717026</v>
      </c>
      <c r="E119" s="80"/>
      <c r="F119" s="80">
        <f t="shared" si="38"/>
        <v>99485.90313274493</v>
      </c>
      <c r="G119" s="80">
        <f t="shared" si="39"/>
        <v>44471.00651627398</v>
      </c>
      <c r="H119" s="80">
        <f t="shared" si="40"/>
        <v>55014.896616470956</v>
      </c>
      <c r="I119" s="72">
        <f t="shared" si="41"/>
        <v>5027385.848100555</v>
      </c>
      <c r="K119" s="79">
        <f t="shared" si="33"/>
        <v>113</v>
      </c>
      <c r="L119" s="80">
        <f t="shared" si="34"/>
        <v>3504719.3708226853</v>
      </c>
      <c r="M119" s="80"/>
      <c r="N119" s="80">
        <f t="shared" si="35"/>
        <v>191779.70639508878</v>
      </c>
      <c r="O119" s="80">
        <f t="shared" si="30"/>
        <v>30666.294494698494</v>
      </c>
      <c r="P119" s="80">
        <f t="shared" si="31"/>
        <v>161113.4119003903</v>
      </c>
      <c r="Q119" s="72">
        <f t="shared" si="32"/>
        <v>3343605.958922295</v>
      </c>
    </row>
    <row r="120" spans="3:17" ht="12.75">
      <c r="C120" s="79">
        <f t="shared" si="36"/>
        <v>114</v>
      </c>
      <c r="D120" s="80">
        <f t="shared" si="37"/>
        <v>5027385.848100555</v>
      </c>
      <c r="E120" s="80"/>
      <c r="F120" s="80">
        <f t="shared" si="38"/>
        <v>99485.90313274493</v>
      </c>
      <c r="G120" s="80">
        <f t="shared" si="39"/>
        <v>43989.62617087986</v>
      </c>
      <c r="H120" s="80">
        <f t="shared" si="40"/>
        <v>55496.27696186507</v>
      </c>
      <c r="I120" s="72">
        <f t="shared" si="41"/>
        <v>4971889.57113869</v>
      </c>
      <c r="K120" s="79">
        <f t="shared" si="33"/>
        <v>114</v>
      </c>
      <c r="L120" s="80">
        <f t="shared" si="34"/>
        <v>3343605.958922295</v>
      </c>
      <c r="M120" s="80"/>
      <c r="N120" s="80">
        <f t="shared" si="35"/>
        <v>191779.70639508878</v>
      </c>
      <c r="O120" s="80">
        <f t="shared" si="30"/>
        <v>29256.552140570082</v>
      </c>
      <c r="P120" s="80">
        <f t="shared" si="31"/>
        <v>162523.1542545187</v>
      </c>
      <c r="Q120" s="72">
        <f t="shared" si="32"/>
        <v>3181082.804667776</v>
      </c>
    </row>
    <row r="121" spans="3:17" ht="12.75">
      <c r="C121" s="79">
        <f t="shared" si="36"/>
        <v>115</v>
      </c>
      <c r="D121" s="80">
        <f t="shared" si="37"/>
        <v>4971889.57113869</v>
      </c>
      <c r="E121" s="80"/>
      <c r="F121" s="80">
        <f t="shared" si="38"/>
        <v>99485.90313274493</v>
      </c>
      <c r="G121" s="80">
        <f t="shared" si="39"/>
        <v>43504.03374746354</v>
      </c>
      <c r="H121" s="80">
        <f t="shared" si="40"/>
        <v>55981.869385281396</v>
      </c>
      <c r="I121" s="72">
        <f t="shared" si="41"/>
        <v>4915907.701753409</v>
      </c>
      <c r="K121" s="79">
        <f t="shared" si="33"/>
        <v>115</v>
      </c>
      <c r="L121" s="80">
        <f t="shared" si="34"/>
        <v>3181082.804667776</v>
      </c>
      <c r="M121" s="80"/>
      <c r="N121" s="80">
        <f t="shared" si="35"/>
        <v>191779.70639508878</v>
      </c>
      <c r="O121" s="80">
        <f t="shared" si="30"/>
        <v>27834.474540843035</v>
      </c>
      <c r="P121" s="80">
        <f t="shared" si="31"/>
        <v>163945.23185424574</v>
      </c>
      <c r="Q121" s="72">
        <f t="shared" si="32"/>
        <v>3017137.5728135305</v>
      </c>
    </row>
    <row r="122" spans="3:17" ht="12.75">
      <c r="C122" s="79">
        <f t="shared" si="36"/>
        <v>116</v>
      </c>
      <c r="D122" s="80">
        <f t="shared" si="37"/>
        <v>4915907.701753409</v>
      </c>
      <c r="E122" s="80"/>
      <c r="F122" s="80">
        <f t="shared" si="38"/>
        <v>99485.90313274493</v>
      </c>
      <c r="G122" s="80">
        <f t="shared" si="39"/>
        <v>43014.19239034232</v>
      </c>
      <c r="H122" s="80">
        <f t="shared" si="40"/>
        <v>56471.71074240261</v>
      </c>
      <c r="I122" s="72">
        <f t="shared" si="41"/>
        <v>4859435.991011006</v>
      </c>
      <c r="K122" s="79">
        <f t="shared" si="33"/>
        <v>116</v>
      </c>
      <c r="L122" s="80">
        <f t="shared" si="34"/>
        <v>3017137.5728135305</v>
      </c>
      <c r="M122" s="80"/>
      <c r="N122" s="80">
        <f t="shared" si="35"/>
        <v>191779.70639508878</v>
      </c>
      <c r="O122" s="80">
        <f t="shared" si="30"/>
        <v>26399.953762118388</v>
      </c>
      <c r="P122" s="80">
        <f t="shared" si="31"/>
        <v>165379.7526329704</v>
      </c>
      <c r="Q122" s="72">
        <f t="shared" si="32"/>
        <v>2851757.82018056</v>
      </c>
    </row>
    <row r="123" spans="3:17" ht="12.75">
      <c r="C123" s="79">
        <f t="shared" si="36"/>
        <v>117</v>
      </c>
      <c r="D123" s="80">
        <f t="shared" si="37"/>
        <v>4859435.991011006</v>
      </c>
      <c r="E123" s="80"/>
      <c r="F123" s="80">
        <f t="shared" si="38"/>
        <v>99485.90313274493</v>
      </c>
      <c r="G123" s="80">
        <f t="shared" si="39"/>
        <v>42520.0649213463</v>
      </c>
      <c r="H123" s="80">
        <f t="shared" si="40"/>
        <v>56965.83821139864</v>
      </c>
      <c r="I123" s="72">
        <f t="shared" si="41"/>
        <v>4802470.152799607</v>
      </c>
      <c r="K123" s="79">
        <f t="shared" si="33"/>
        <v>117</v>
      </c>
      <c r="L123" s="80">
        <f t="shared" si="34"/>
        <v>2851757.82018056</v>
      </c>
      <c r="M123" s="80"/>
      <c r="N123" s="80">
        <f t="shared" si="35"/>
        <v>191779.70639508878</v>
      </c>
      <c r="O123" s="80">
        <f t="shared" si="30"/>
        <v>24952.880926579895</v>
      </c>
      <c r="P123" s="80">
        <f t="shared" si="31"/>
        <v>166826.82546850888</v>
      </c>
      <c r="Q123" s="72">
        <f t="shared" si="32"/>
        <v>2684930.994712051</v>
      </c>
    </row>
    <row r="124" spans="3:17" ht="12.75">
      <c r="C124" s="79">
        <f t="shared" si="36"/>
        <v>118</v>
      </c>
      <c r="D124" s="80">
        <f t="shared" si="37"/>
        <v>4802470.152799607</v>
      </c>
      <c r="E124" s="80"/>
      <c r="F124" s="80">
        <f t="shared" si="38"/>
        <v>99485.90313274493</v>
      </c>
      <c r="G124" s="80">
        <f t="shared" si="39"/>
        <v>42021.61383699656</v>
      </c>
      <c r="H124" s="80">
        <f t="shared" si="40"/>
        <v>57464.28929574837</v>
      </c>
      <c r="I124" s="72">
        <f t="shared" si="41"/>
        <v>4745005.863503858</v>
      </c>
      <c r="K124" s="79">
        <f t="shared" si="33"/>
        <v>118</v>
      </c>
      <c r="L124" s="80">
        <f t="shared" si="34"/>
        <v>2684930.994712051</v>
      </c>
      <c r="M124" s="80"/>
      <c r="N124" s="80">
        <f t="shared" si="35"/>
        <v>191779.70639508878</v>
      </c>
      <c r="O124" s="80">
        <f t="shared" si="30"/>
        <v>23493.146203730445</v>
      </c>
      <c r="P124" s="80">
        <f t="shared" si="31"/>
        <v>168286.56019135832</v>
      </c>
      <c r="Q124" s="72">
        <f t="shared" si="32"/>
        <v>2516644.4345206926</v>
      </c>
    </row>
    <row r="125" spans="3:17" ht="12.75">
      <c r="C125" s="79">
        <f t="shared" si="36"/>
        <v>119</v>
      </c>
      <c r="D125" s="80">
        <f t="shared" si="37"/>
        <v>4745005.863503858</v>
      </c>
      <c r="E125" s="80"/>
      <c r="F125" s="80">
        <f t="shared" si="38"/>
        <v>99485.90313274493</v>
      </c>
      <c r="G125" s="80">
        <f t="shared" si="39"/>
        <v>41518.80130565876</v>
      </c>
      <c r="H125" s="80">
        <f t="shared" si="40"/>
        <v>57967.101827086175</v>
      </c>
      <c r="I125" s="72">
        <f t="shared" si="41"/>
        <v>4687038.7616767725</v>
      </c>
      <c r="K125" s="79">
        <f t="shared" si="33"/>
        <v>119</v>
      </c>
      <c r="L125" s="80">
        <f t="shared" si="34"/>
        <v>2516644.4345206926</v>
      </c>
      <c r="M125" s="80"/>
      <c r="N125" s="80">
        <f t="shared" si="35"/>
        <v>191779.70639508878</v>
      </c>
      <c r="O125" s="80">
        <f t="shared" si="30"/>
        <v>22020.63880205606</v>
      </c>
      <c r="P125" s="80">
        <f t="shared" si="31"/>
        <v>169759.06759303273</v>
      </c>
      <c r="Q125" s="72">
        <f t="shared" si="32"/>
        <v>2346885.36692766</v>
      </c>
    </row>
    <row r="126" spans="3:17" ht="12.75">
      <c r="C126" s="79">
        <f t="shared" si="36"/>
        <v>120</v>
      </c>
      <c r="D126" s="80">
        <f t="shared" si="37"/>
        <v>4687038.7616767725</v>
      </c>
      <c r="E126" s="80"/>
      <c r="F126" s="80">
        <f t="shared" si="38"/>
        <v>99485.90313274493</v>
      </c>
      <c r="G126" s="80">
        <f t="shared" si="39"/>
        <v>41011.58916467176</v>
      </c>
      <c r="H126" s="80">
        <f t="shared" si="40"/>
        <v>58474.31396807318</v>
      </c>
      <c r="I126" s="72">
        <f t="shared" si="41"/>
        <v>4628564.447708699</v>
      </c>
      <c r="K126" s="79">
        <f t="shared" si="33"/>
        <v>120</v>
      </c>
      <c r="L126" s="80">
        <f t="shared" si="34"/>
        <v>2346885.36692766</v>
      </c>
      <c r="M126" s="80"/>
      <c r="N126" s="80">
        <f t="shared" si="35"/>
        <v>191779.70639508878</v>
      </c>
      <c r="O126" s="80">
        <f t="shared" si="30"/>
        <v>20535.246960617023</v>
      </c>
      <c r="P126" s="80">
        <f t="shared" si="31"/>
        <v>171244.45943447176</v>
      </c>
      <c r="Q126" s="72">
        <f t="shared" si="32"/>
        <v>2175640.9074931885</v>
      </c>
    </row>
    <row r="127" spans="3:17" ht="12.75">
      <c r="C127" s="79">
        <f t="shared" si="36"/>
        <v>121</v>
      </c>
      <c r="D127" s="80">
        <f t="shared" si="37"/>
        <v>4628564.447708699</v>
      </c>
      <c r="E127" s="80"/>
      <c r="F127" s="80">
        <f t="shared" si="38"/>
        <v>99485.90313274493</v>
      </c>
      <c r="G127" s="80">
        <f t="shared" si="39"/>
        <v>40499.938917451116</v>
      </c>
      <c r="H127" s="80">
        <f t="shared" si="40"/>
        <v>58985.96421529382</v>
      </c>
      <c r="I127" s="72">
        <f t="shared" si="41"/>
        <v>4569578.483493405</v>
      </c>
      <c r="K127" s="79">
        <f t="shared" si="33"/>
        <v>121</v>
      </c>
      <c r="L127" s="80">
        <f t="shared" si="34"/>
        <v>2175640.9074931885</v>
      </c>
      <c r="M127" s="80"/>
      <c r="N127" s="80">
        <f t="shared" si="35"/>
        <v>191779.70639508878</v>
      </c>
      <c r="O127" s="80">
        <f t="shared" si="30"/>
        <v>19036.857940565398</v>
      </c>
      <c r="P127" s="80">
        <f t="shared" si="31"/>
        <v>172742.8484545234</v>
      </c>
      <c r="Q127" s="72">
        <f t="shared" si="32"/>
        <v>2002898.0590386651</v>
      </c>
    </row>
    <row r="128" spans="3:17" ht="12.75">
      <c r="C128" s="79">
        <f t="shared" si="36"/>
        <v>122</v>
      </c>
      <c r="D128" s="80">
        <f t="shared" si="37"/>
        <v>4569578.483493405</v>
      </c>
      <c r="E128" s="80"/>
      <c r="F128" s="80">
        <f t="shared" si="38"/>
        <v>99485.90313274493</v>
      </c>
      <c r="G128" s="80">
        <f t="shared" si="39"/>
        <v>39983.8117305673</v>
      </c>
      <c r="H128" s="80">
        <f t="shared" si="40"/>
        <v>59502.09140217763</v>
      </c>
      <c r="I128" s="72">
        <f t="shared" si="41"/>
        <v>4510076.392091228</v>
      </c>
      <c r="K128" s="79">
        <f t="shared" si="33"/>
        <v>122</v>
      </c>
      <c r="L128" s="80">
        <f t="shared" si="34"/>
        <v>2002898.0590386651</v>
      </c>
      <c r="M128" s="80"/>
      <c r="N128" s="80">
        <f t="shared" si="35"/>
        <v>191779.70639508878</v>
      </c>
      <c r="O128" s="80">
        <f t="shared" si="30"/>
        <v>17525.35801658832</v>
      </c>
      <c r="P128" s="80">
        <f t="shared" si="31"/>
        <v>174254.34837850046</v>
      </c>
      <c r="Q128" s="72">
        <f t="shared" si="32"/>
        <v>1828643.7106601647</v>
      </c>
    </row>
    <row r="129" spans="3:17" ht="12.75">
      <c r="C129" s="79">
        <f t="shared" si="36"/>
        <v>123</v>
      </c>
      <c r="D129" s="80">
        <f t="shared" si="37"/>
        <v>4510076.392091228</v>
      </c>
      <c r="E129" s="80"/>
      <c r="F129" s="80">
        <f t="shared" si="38"/>
        <v>99485.90313274493</v>
      </c>
      <c r="G129" s="80">
        <f t="shared" si="39"/>
        <v>39463.16843079824</v>
      </c>
      <c r="H129" s="80">
        <f t="shared" si="40"/>
        <v>60022.73470194669</v>
      </c>
      <c r="I129" s="72">
        <f t="shared" si="41"/>
        <v>4450053.657389281</v>
      </c>
      <c r="K129" s="79">
        <f t="shared" si="33"/>
        <v>123</v>
      </c>
      <c r="L129" s="80">
        <f t="shared" si="34"/>
        <v>1828643.7106601647</v>
      </c>
      <c r="M129" s="80"/>
      <c r="N129" s="80">
        <f t="shared" si="35"/>
        <v>191779.70639508878</v>
      </c>
      <c r="O129" s="80">
        <f t="shared" si="30"/>
        <v>16000.63246827644</v>
      </c>
      <c r="P129" s="80">
        <f t="shared" si="31"/>
        <v>175779.07392681233</v>
      </c>
      <c r="Q129" s="72">
        <f t="shared" si="32"/>
        <v>1652864.6367333524</v>
      </c>
    </row>
    <row r="130" spans="3:17" ht="12.75">
      <c r="C130" s="79">
        <f t="shared" si="36"/>
        <v>124</v>
      </c>
      <c r="D130" s="80">
        <f t="shared" si="37"/>
        <v>4450053.657389281</v>
      </c>
      <c r="E130" s="80"/>
      <c r="F130" s="80">
        <f t="shared" si="38"/>
        <v>99485.90313274493</v>
      </c>
      <c r="G130" s="80">
        <f t="shared" si="39"/>
        <v>38937.969502156215</v>
      </c>
      <c r="H130" s="80">
        <f t="shared" si="40"/>
        <v>60547.93363058872</v>
      </c>
      <c r="I130" s="72">
        <f t="shared" si="41"/>
        <v>4389505.723758693</v>
      </c>
      <c r="K130" s="79">
        <f t="shared" si="33"/>
        <v>124</v>
      </c>
      <c r="L130" s="80">
        <f t="shared" si="34"/>
        <v>1652864.6367333524</v>
      </c>
      <c r="M130" s="80"/>
      <c r="N130" s="80">
        <f t="shared" si="35"/>
        <v>191779.70639508878</v>
      </c>
      <c r="O130" s="80">
        <f t="shared" si="30"/>
        <v>14462.565571416833</v>
      </c>
      <c r="P130" s="80">
        <f t="shared" si="31"/>
        <v>177317.14082367194</v>
      </c>
      <c r="Q130" s="72">
        <f t="shared" si="32"/>
        <v>1475547.4959096806</v>
      </c>
    </row>
    <row r="131" spans="3:17" ht="12.75">
      <c r="C131" s="79">
        <f t="shared" si="36"/>
        <v>125</v>
      </c>
      <c r="D131" s="80">
        <f t="shared" si="37"/>
        <v>4389505.723758693</v>
      </c>
      <c r="E131" s="80"/>
      <c r="F131" s="80">
        <f t="shared" si="38"/>
        <v>99485.90313274493</v>
      </c>
      <c r="G131" s="80">
        <f t="shared" si="39"/>
        <v>38408.17508288856</v>
      </c>
      <c r="H131" s="80">
        <f t="shared" si="40"/>
        <v>61077.72804985637</v>
      </c>
      <c r="I131" s="72">
        <f t="shared" si="41"/>
        <v>4328427.995708836</v>
      </c>
      <c r="K131" s="79">
        <f t="shared" si="33"/>
        <v>125</v>
      </c>
      <c r="L131" s="80">
        <f t="shared" si="34"/>
        <v>1475547.4959096806</v>
      </c>
      <c r="M131" s="80"/>
      <c r="N131" s="80">
        <f t="shared" si="35"/>
        <v>191779.70639508878</v>
      </c>
      <c r="O131" s="80">
        <f t="shared" si="30"/>
        <v>12911.040589209704</v>
      </c>
      <c r="P131" s="80">
        <f t="shared" si="31"/>
        <v>178868.66580587908</v>
      </c>
      <c r="Q131" s="72">
        <f t="shared" si="32"/>
        <v>1296678.8301038016</v>
      </c>
    </row>
    <row r="132" spans="3:17" ht="12.75">
      <c r="C132" s="79">
        <f t="shared" si="36"/>
        <v>126</v>
      </c>
      <c r="D132" s="80">
        <f t="shared" si="37"/>
        <v>4328427.995708836</v>
      </c>
      <c r="E132" s="80"/>
      <c r="F132" s="80">
        <f t="shared" si="38"/>
        <v>99485.90313274493</v>
      </c>
      <c r="G132" s="80">
        <f t="shared" si="39"/>
        <v>37873.744962452314</v>
      </c>
      <c r="H132" s="80">
        <f t="shared" si="40"/>
        <v>61612.15817029262</v>
      </c>
      <c r="I132" s="72">
        <f t="shared" si="41"/>
        <v>4266815.837538544</v>
      </c>
      <c r="K132" s="79">
        <f t="shared" si="33"/>
        <v>126</v>
      </c>
      <c r="L132" s="80">
        <f t="shared" si="34"/>
        <v>1296678.8301038016</v>
      </c>
      <c r="M132" s="80"/>
      <c r="N132" s="80">
        <f t="shared" si="35"/>
        <v>191779.70639508878</v>
      </c>
      <c r="O132" s="80">
        <f t="shared" si="30"/>
        <v>11345.939763408263</v>
      </c>
      <c r="P132" s="80">
        <f t="shared" si="31"/>
        <v>180433.7666316805</v>
      </c>
      <c r="Q132" s="72">
        <f t="shared" si="32"/>
        <v>1116245.063472121</v>
      </c>
    </row>
    <row r="133" spans="3:17" ht="12.75">
      <c r="C133" s="79">
        <f t="shared" si="36"/>
        <v>127</v>
      </c>
      <c r="D133" s="80">
        <f t="shared" si="37"/>
        <v>4266815.837538544</v>
      </c>
      <c r="E133" s="80"/>
      <c r="F133" s="80">
        <f t="shared" si="38"/>
        <v>99485.90313274493</v>
      </c>
      <c r="G133" s="80">
        <f t="shared" si="39"/>
        <v>37334.63857846226</v>
      </c>
      <c r="H133" s="80">
        <f t="shared" si="40"/>
        <v>62151.26455428267</v>
      </c>
      <c r="I133" s="72">
        <f t="shared" si="41"/>
        <v>4204664.572984261</v>
      </c>
      <c r="K133" s="79">
        <f t="shared" si="33"/>
        <v>127</v>
      </c>
      <c r="L133" s="80">
        <f t="shared" si="34"/>
        <v>1116245.063472121</v>
      </c>
      <c r="M133" s="80"/>
      <c r="N133" s="80">
        <f t="shared" si="35"/>
        <v>191779.70639508878</v>
      </c>
      <c r="O133" s="80">
        <f t="shared" si="30"/>
        <v>9767.144305381058</v>
      </c>
      <c r="P133" s="80">
        <f t="shared" si="31"/>
        <v>182012.56208970773</v>
      </c>
      <c r="Q133" s="72">
        <f t="shared" si="32"/>
        <v>934232.5013824133</v>
      </c>
    </row>
    <row r="134" spans="3:17" ht="12.75">
      <c r="C134" s="79">
        <f t="shared" si="36"/>
        <v>128</v>
      </c>
      <c r="D134" s="80">
        <f t="shared" si="37"/>
        <v>4204664.572984261</v>
      </c>
      <c r="E134" s="80"/>
      <c r="F134" s="80">
        <f t="shared" si="38"/>
        <v>99485.90313274493</v>
      </c>
      <c r="G134" s="80">
        <f t="shared" si="39"/>
        <v>36790.815013612286</v>
      </c>
      <c r="H134" s="80">
        <f t="shared" si="40"/>
        <v>62695.08811913265</v>
      </c>
      <c r="I134" s="72">
        <f t="shared" si="41"/>
        <v>4141969.484865129</v>
      </c>
      <c r="K134" s="79">
        <f t="shared" si="33"/>
        <v>128</v>
      </c>
      <c r="L134" s="80">
        <f t="shared" si="34"/>
        <v>934232.5013824133</v>
      </c>
      <c r="M134" s="80"/>
      <c r="N134" s="80">
        <f t="shared" si="35"/>
        <v>191779.70639508878</v>
      </c>
      <c r="O134" s="80">
        <f t="shared" si="30"/>
        <v>8174.534387096116</v>
      </c>
      <c r="P134" s="80">
        <f t="shared" si="31"/>
        <v>183605.17200799266</v>
      </c>
      <c r="Q134" s="72">
        <f t="shared" si="32"/>
        <v>750627.3293744207</v>
      </c>
    </row>
    <row r="135" spans="3:17" ht="12.75">
      <c r="C135" s="79">
        <f t="shared" si="36"/>
        <v>129</v>
      </c>
      <c r="D135" s="80">
        <f t="shared" si="37"/>
        <v>4141969.484865129</v>
      </c>
      <c r="E135" s="80"/>
      <c r="F135" s="80">
        <f t="shared" si="38"/>
        <v>99485.90313274493</v>
      </c>
      <c r="G135" s="80">
        <f t="shared" si="39"/>
        <v>36242.23299256988</v>
      </c>
      <c r="H135" s="80">
        <f t="shared" si="40"/>
        <v>63243.670140175054</v>
      </c>
      <c r="I135" s="72">
        <f t="shared" si="41"/>
        <v>4078725.814724954</v>
      </c>
      <c r="K135" s="79">
        <f t="shared" si="33"/>
        <v>129</v>
      </c>
      <c r="L135" s="80">
        <f t="shared" si="34"/>
        <v>750627.3293744207</v>
      </c>
      <c r="M135" s="80"/>
      <c r="N135" s="80">
        <f t="shared" si="35"/>
        <v>191779.70639508878</v>
      </c>
      <c r="O135" s="80">
        <f t="shared" si="30"/>
        <v>6567.989132026181</v>
      </c>
      <c r="P135" s="80">
        <f t="shared" si="31"/>
        <v>185211.7172630626</v>
      </c>
      <c r="Q135" s="72">
        <f t="shared" si="32"/>
        <v>565415.6121113581</v>
      </c>
    </row>
    <row r="136" spans="3:17" ht="12.75">
      <c r="C136" s="79">
        <f aca="true" t="shared" si="42" ref="C136:C171">+C135+1</f>
        <v>130</v>
      </c>
      <c r="D136" s="80">
        <f aca="true" t="shared" si="43" ref="D136:D171">+I135</f>
        <v>4078725.814724954</v>
      </c>
      <c r="E136" s="80"/>
      <c r="F136" s="80">
        <f aca="true" t="shared" si="44" ref="F136:F171">+F135</f>
        <v>99485.90313274493</v>
      </c>
      <c r="G136" s="80">
        <f aca="true" t="shared" si="45" ref="G136:G171">+D136*G$5/12</f>
        <v>35688.85087884335</v>
      </c>
      <c r="H136" s="80">
        <f aca="true" t="shared" si="46" ref="H136:H171">+F136-G136</f>
        <v>63797.05225390159</v>
      </c>
      <c r="I136" s="72">
        <f aca="true" t="shared" si="47" ref="I136:I171">+D136-H136</f>
        <v>4014928.7624710524</v>
      </c>
      <c r="K136" s="79">
        <f t="shared" si="33"/>
        <v>130</v>
      </c>
      <c r="L136" s="80">
        <f t="shared" si="34"/>
        <v>565415.6121113581</v>
      </c>
      <c r="M136" s="80"/>
      <c r="N136" s="80">
        <f t="shared" si="35"/>
        <v>191779.70639508878</v>
      </c>
      <c r="O136" s="80">
        <f t="shared" si="30"/>
        <v>4947.386605974383</v>
      </c>
      <c r="P136" s="80">
        <f t="shared" si="31"/>
        <v>186832.3197891144</v>
      </c>
      <c r="Q136" s="72">
        <f t="shared" si="32"/>
        <v>378583.2923222437</v>
      </c>
    </row>
    <row r="137" spans="3:17" ht="12.75">
      <c r="C137" s="79">
        <f t="shared" si="42"/>
        <v>131</v>
      </c>
      <c r="D137" s="80">
        <f t="shared" si="43"/>
        <v>4014928.7624710524</v>
      </c>
      <c r="E137" s="80"/>
      <c r="F137" s="80">
        <f t="shared" si="44"/>
        <v>99485.90313274493</v>
      </c>
      <c r="G137" s="80">
        <f t="shared" si="45"/>
        <v>35130.62667162171</v>
      </c>
      <c r="H137" s="80">
        <f t="shared" si="46"/>
        <v>64355.27646112323</v>
      </c>
      <c r="I137" s="72">
        <f t="shared" si="47"/>
        <v>3950573.4860099293</v>
      </c>
      <c r="K137" s="79">
        <f t="shared" si="33"/>
        <v>131</v>
      </c>
      <c r="L137" s="80">
        <f t="shared" si="34"/>
        <v>378583.2923222437</v>
      </c>
      <c r="M137" s="80"/>
      <c r="N137" s="80">
        <f t="shared" si="35"/>
        <v>191779.70639508878</v>
      </c>
      <c r="O137" s="80">
        <f t="shared" si="30"/>
        <v>3312.603807819632</v>
      </c>
      <c r="P137" s="80">
        <f t="shared" si="31"/>
        <v>188467.10258726915</v>
      </c>
      <c r="Q137" s="72">
        <f t="shared" si="32"/>
        <v>190116.18973497453</v>
      </c>
    </row>
    <row r="138" spans="3:17" ht="12.75">
      <c r="C138" s="79">
        <f t="shared" si="42"/>
        <v>132</v>
      </c>
      <c r="D138" s="80">
        <f t="shared" si="43"/>
        <v>3950573.4860099293</v>
      </c>
      <c r="E138" s="80"/>
      <c r="F138" s="80">
        <f t="shared" si="44"/>
        <v>99485.90313274493</v>
      </c>
      <c r="G138" s="80">
        <f t="shared" si="45"/>
        <v>34567.51800258688</v>
      </c>
      <c r="H138" s="80">
        <f t="shared" si="46"/>
        <v>64918.38513015805</v>
      </c>
      <c r="I138" s="72">
        <f t="shared" si="47"/>
        <v>3885655.100879771</v>
      </c>
      <c r="K138" s="79">
        <f t="shared" si="33"/>
        <v>132</v>
      </c>
      <c r="L138" s="80">
        <f t="shared" si="34"/>
        <v>190116.18973497453</v>
      </c>
      <c r="M138" s="80"/>
      <c r="N138" s="80">
        <f t="shared" si="35"/>
        <v>191779.70639508878</v>
      </c>
      <c r="O138" s="80">
        <f t="shared" si="30"/>
        <v>1663.516660181027</v>
      </c>
      <c r="P138" s="80">
        <f t="shared" si="31"/>
        <v>190116.18973490776</v>
      </c>
      <c r="Q138" s="72">
        <f t="shared" si="32"/>
        <v>6.676418706774712E-08</v>
      </c>
    </row>
    <row r="139" spans="3:17" ht="12.75">
      <c r="C139" s="79">
        <f t="shared" si="42"/>
        <v>133</v>
      </c>
      <c r="D139" s="80">
        <f t="shared" si="43"/>
        <v>3885655.100879771</v>
      </c>
      <c r="E139" s="80"/>
      <c r="F139" s="80">
        <f t="shared" si="44"/>
        <v>99485.90313274493</v>
      </c>
      <c r="G139" s="80">
        <f t="shared" si="45"/>
        <v>33999.482132697995</v>
      </c>
      <c r="H139" s="80">
        <f t="shared" si="46"/>
        <v>65486.42100004694</v>
      </c>
      <c r="I139" s="72">
        <f t="shared" si="47"/>
        <v>3820168.679879724</v>
      </c>
      <c r="K139" s="79"/>
      <c r="L139" s="80"/>
      <c r="M139" s="80"/>
      <c r="N139" s="80"/>
      <c r="O139" s="80"/>
      <c r="P139" s="80"/>
      <c r="Q139" s="72"/>
    </row>
    <row r="140" spans="3:17" ht="12.75">
      <c r="C140" s="79">
        <f t="shared" si="42"/>
        <v>134</v>
      </c>
      <c r="D140" s="80">
        <f t="shared" si="43"/>
        <v>3820168.679879724</v>
      </c>
      <c r="E140" s="80"/>
      <c r="F140" s="80">
        <f t="shared" si="44"/>
        <v>99485.90313274493</v>
      </c>
      <c r="G140" s="80">
        <f t="shared" si="45"/>
        <v>33426.475948947584</v>
      </c>
      <c r="H140" s="80">
        <f t="shared" si="46"/>
        <v>66059.42718379735</v>
      </c>
      <c r="I140" s="72">
        <f t="shared" si="47"/>
        <v>3754109.2526959265</v>
      </c>
      <c r="K140" s="79"/>
      <c r="L140" s="80"/>
      <c r="M140" s="80"/>
      <c r="N140" s="80"/>
      <c r="O140" s="80"/>
      <c r="P140" s="80"/>
      <c r="Q140" s="72"/>
    </row>
    <row r="141" spans="3:17" ht="12.75">
      <c r="C141" s="79">
        <f t="shared" si="42"/>
        <v>135</v>
      </c>
      <c r="D141" s="80">
        <f t="shared" si="43"/>
        <v>3754109.2526959265</v>
      </c>
      <c r="E141" s="80"/>
      <c r="F141" s="80">
        <f t="shared" si="44"/>
        <v>99485.90313274493</v>
      </c>
      <c r="G141" s="80">
        <f t="shared" si="45"/>
        <v>32848.455961089356</v>
      </c>
      <c r="H141" s="80">
        <f t="shared" si="46"/>
        <v>66637.44717165557</v>
      </c>
      <c r="I141" s="72">
        <f t="shared" si="47"/>
        <v>3687471.805524271</v>
      </c>
      <c r="K141" s="79"/>
      <c r="L141" s="80"/>
      <c r="M141" s="80"/>
      <c r="N141" s="80"/>
      <c r="O141" s="80"/>
      <c r="P141" s="80"/>
      <c r="Q141" s="72"/>
    </row>
    <row r="142" spans="3:17" ht="12.75">
      <c r="C142" s="79">
        <f t="shared" si="42"/>
        <v>136</v>
      </c>
      <c r="D142" s="80">
        <f t="shared" si="43"/>
        <v>3687471.805524271</v>
      </c>
      <c r="E142" s="80"/>
      <c r="F142" s="80">
        <f t="shared" si="44"/>
        <v>99485.90313274493</v>
      </c>
      <c r="G142" s="80">
        <f t="shared" si="45"/>
        <v>32265.378298337368</v>
      </c>
      <c r="H142" s="80">
        <f t="shared" si="46"/>
        <v>67220.52483440757</v>
      </c>
      <c r="I142" s="72">
        <f t="shared" si="47"/>
        <v>3620251.2806898635</v>
      </c>
      <c r="K142" s="79"/>
      <c r="L142" s="80"/>
      <c r="M142" s="80"/>
      <c r="N142" s="80"/>
      <c r="O142" s="80"/>
      <c r="P142" s="80"/>
      <c r="Q142" s="72"/>
    </row>
    <row r="143" spans="3:17" ht="12.75">
      <c r="C143" s="79">
        <f t="shared" si="42"/>
        <v>137</v>
      </c>
      <c r="D143" s="80">
        <f t="shared" si="43"/>
        <v>3620251.2806898635</v>
      </c>
      <c r="E143" s="80"/>
      <c r="F143" s="80">
        <f t="shared" si="44"/>
        <v>99485.90313274493</v>
      </c>
      <c r="G143" s="80">
        <f t="shared" si="45"/>
        <v>31677.198706036303</v>
      </c>
      <c r="H143" s="80">
        <f t="shared" si="46"/>
        <v>67808.70442670863</v>
      </c>
      <c r="I143" s="72">
        <f t="shared" si="47"/>
        <v>3552442.576263155</v>
      </c>
      <c r="K143" s="79"/>
      <c r="L143" s="80"/>
      <c r="M143" s="80"/>
      <c r="N143" s="80"/>
      <c r="O143" s="80"/>
      <c r="P143" s="80"/>
      <c r="Q143" s="72"/>
    </row>
    <row r="144" spans="3:17" ht="12.75">
      <c r="C144" s="79">
        <f t="shared" si="42"/>
        <v>138</v>
      </c>
      <c r="D144" s="80">
        <f t="shared" si="43"/>
        <v>3552442.576263155</v>
      </c>
      <c r="E144" s="80"/>
      <c r="F144" s="80">
        <f t="shared" si="44"/>
        <v>99485.90313274493</v>
      </c>
      <c r="G144" s="80">
        <f t="shared" si="45"/>
        <v>31083.872542302604</v>
      </c>
      <c r="H144" s="80">
        <f t="shared" si="46"/>
        <v>68402.03059044233</v>
      </c>
      <c r="I144" s="72">
        <f t="shared" si="47"/>
        <v>3484040.5456727124</v>
      </c>
      <c r="K144" s="79"/>
      <c r="L144" s="80"/>
      <c r="M144" s="80"/>
      <c r="N144" s="80"/>
      <c r="O144" s="80"/>
      <c r="P144" s="80"/>
      <c r="Q144" s="72"/>
    </row>
    <row r="145" spans="3:17" ht="12.75">
      <c r="C145" s="79">
        <f t="shared" si="42"/>
        <v>139</v>
      </c>
      <c r="D145" s="80">
        <f t="shared" si="43"/>
        <v>3484040.5456727124</v>
      </c>
      <c r="E145" s="80"/>
      <c r="F145" s="80">
        <f t="shared" si="44"/>
        <v>99485.90313274493</v>
      </c>
      <c r="G145" s="80">
        <f t="shared" si="45"/>
        <v>30485.35477463623</v>
      </c>
      <c r="H145" s="80">
        <f t="shared" si="46"/>
        <v>69000.5483581087</v>
      </c>
      <c r="I145" s="72">
        <f t="shared" si="47"/>
        <v>3415039.9973146035</v>
      </c>
      <c r="K145" s="79"/>
      <c r="L145" s="80"/>
      <c r="M145" s="80"/>
      <c r="N145" s="80"/>
      <c r="O145" s="80"/>
      <c r="P145" s="80"/>
      <c r="Q145" s="72"/>
    </row>
    <row r="146" spans="3:17" ht="12.75">
      <c r="C146" s="79">
        <f t="shared" si="42"/>
        <v>140</v>
      </c>
      <c r="D146" s="80">
        <f t="shared" si="43"/>
        <v>3415039.9973146035</v>
      </c>
      <c r="E146" s="80"/>
      <c r="F146" s="80">
        <f t="shared" si="44"/>
        <v>99485.90313274493</v>
      </c>
      <c r="G146" s="80">
        <f t="shared" si="45"/>
        <v>29881.59997650278</v>
      </c>
      <c r="H146" s="80">
        <f t="shared" si="46"/>
        <v>69604.30315624215</v>
      </c>
      <c r="I146" s="72">
        <f t="shared" si="47"/>
        <v>3345435.6941583613</v>
      </c>
      <c r="K146" s="79"/>
      <c r="L146" s="80"/>
      <c r="M146" s="80"/>
      <c r="N146" s="80"/>
      <c r="O146" s="80"/>
      <c r="P146" s="80"/>
      <c r="Q146" s="72"/>
    </row>
    <row r="147" spans="3:17" ht="12.75">
      <c r="C147" s="79">
        <f t="shared" si="42"/>
        <v>141</v>
      </c>
      <c r="D147" s="80">
        <f t="shared" si="43"/>
        <v>3345435.6941583613</v>
      </c>
      <c r="E147" s="80"/>
      <c r="F147" s="80">
        <f t="shared" si="44"/>
        <v>99485.90313274493</v>
      </c>
      <c r="G147" s="80">
        <f t="shared" si="45"/>
        <v>29272.56232388566</v>
      </c>
      <c r="H147" s="80">
        <f t="shared" si="46"/>
        <v>70213.34080885927</v>
      </c>
      <c r="I147" s="72">
        <f t="shared" si="47"/>
        <v>3275222.353349502</v>
      </c>
      <c r="K147" s="79"/>
      <c r="L147" s="80"/>
      <c r="M147" s="80"/>
      <c r="N147" s="80"/>
      <c r="O147" s="80"/>
      <c r="P147" s="80"/>
      <c r="Q147" s="72"/>
    </row>
    <row r="148" spans="3:17" ht="12.75">
      <c r="C148" s="79">
        <f t="shared" si="42"/>
        <v>142</v>
      </c>
      <c r="D148" s="80">
        <f t="shared" si="43"/>
        <v>3275222.353349502</v>
      </c>
      <c r="E148" s="80"/>
      <c r="F148" s="80">
        <f t="shared" si="44"/>
        <v>99485.90313274493</v>
      </c>
      <c r="G148" s="80">
        <f t="shared" si="45"/>
        <v>28658.19559180814</v>
      </c>
      <c r="H148" s="80">
        <f t="shared" si="46"/>
        <v>70827.7075409368</v>
      </c>
      <c r="I148" s="72">
        <f t="shared" si="47"/>
        <v>3204394.6458085654</v>
      </c>
      <c r="K148" s="79"/>
      <c r="L148" s="80"/>
      <c r="M148" s="80"/>
      <c r="N148" s="80"/>
      <c r="O148" s="80"/>
      <c r="P148" s="80"/>
      <c r="Q148" s="72"/>
    </row>
    <row r="149" spans="3:17" ht="12.75">
      <c r="C149" s="79">
        <f t="shared" si="42"/>
        <v>143</v>
      </c>
      <c r="D149" s="80">
        <f t="shared" si="43"/>
        <v>3204394.6458085654</v>
      </c>
      <c r="E149" s="80"/>
      <c r="F149" s="80">
        <f t="shared" si="44"/>
        <v>99485.90313274493</v>
      </c>
      <c r="G149" s="80">
        <f t="shared" si="45"/>
        <v>28038.453150824946</v>
      </c>
      <c r="H149" s="80">
        <f t="shared" si="46"/>
        <v>71447.44998191998</v>
      </c>
      <c r="I149" s="72">
        <f t="shared" si="47"/>
        <v>3132947.1958266455</v>
      </c>
      <c r="K149" s="79"/>
      <c r="L149" s="80"/>
      <c r="M149" s="80"/>
      <c r="N149" s="80"/>
      <c r="O149" s="80"/>
      <c r="P149" s="80"/>
      <c r="Q149" s="72"/>
    </row>
    <row r="150" spans="3:17" ht="12.75">
      <c r="C150" s="79">
        <f t="shared" si="42"/>
        <v>144</v>
      </c>
      <c r="D150" s="80">
        <f t="shared" si="43"/>
        <v>3132947.1958266455</v>
      </c>
      <c r="E150" s="80"/>
      <c r="F150" s="80">
        <f t="shared" si="44"/>
        <v>99485.90313274493</v>
      </c>
      <c r="G150" s="80">
        <f t="shared" si="45"/>
        <v>27413.287963483148</v>
      </c>
      <c r="H150" s="80">
        <f t="shared" si="46"/>
        <v>72072.61516926179</v>
      </c>
      <c r="I150" s="72">
        <f t="shared" si="47"/>
        <v>3060874.580657384</v>
      </c>
      <c r="K150" s="79"/>
      <c r="L150" s="80"/>
      <c r="M150" s="80"/>
      <c r="N150" s="80"/>
      <c r="O150" s="80"/>
      <c r="P150" s="80"/>
      <c r="Q150" s="72"/>
    </row>
    <row r="151" spans="3:17" ht="12.75">
      <c r="C151" s="79">
        <f t="shared" si="42"/>
        <v>145</v>
      </c>
      <c r="D151" s="80">
        <f t="shared" si="43"/>
        <v>3060874.580657384</v>
      </c>
      <c r="E151" s="80"/>
      <c r="F151" s="80">
        <f t="shared" si="44"/>
        <v>99485.90313274493</v>
      </c>
      <c r="G151" s="80">
        <f t="shared" si="45"/>
        <v>26782.65258075211</v>
      </c>
      <c r="H151" s="80">
        <f t="shared" si="46"/>
        <v>72703.25055199282</v>
      </c>
      <c r="I151" s="72">
        <f t="shared" si="47"/>
        <v>2988171.330105391</v>
      </c>
      <c r="K151" s="79"/>
      <c r="L151" s="80"/>
      <c r="M151" s="80"/>
      <c r="N151" s="80"/>
      <c r="O151" s="80"/>
      <c r="P151" s="80"/>
      <c r="Q151" s="72"/>
    </row>
    <row r="152" spans="3:17" ht="12.75">
      <c r="C152" s="79">
        <f t="shared" si="42"/>
        <v>146</v>
      </c>
      <c r="D152" s="80">
        <f t="shared" si="43"/>
        <v>2988171.330105391</v>
      </c>
      <c r="E152" s="80"/>
      <c r="F152" s="80">
        <f t="shared" si="44"/>
        <v>99485.90313274493</v>
      </c>
      <c r="G152" s="80">
        <f t="shared" si="45"/>
        <v>26146.49913842217</v>
      </c>
      <c r="H152" s="80">
        <f t="shared" si="46"/>
        <v>73339.40399432277</v>
      </c>
      <c r="I152" s="72">
        <f t="shared" si="47"/>
        <v>2914831.926111068</v>
      </c>
      <c r="K152" s="79"/>
      <c r="L152" s="80"/>
      <c r="M152" s="80"/>
      <c r="N152" s="80"/>
      <c r="O152" s="80"/>
      <c r="P152" s="80"/>
      <c r="Q152" s="72"/>
    </row>
    <row r="153" spans="3:17" ht="12.75">
      <c r="C153" s="79">
        <f t="shared" si="42"/>
        <v>147</v>
      </c>
      <c r="D153" s="80">
        <f t="shared" si="43"/>
        <v>2914831.926111068</v>
      </c>
      <c r="E153" s="80"/>
      <c r="F153" s="80">
        <f t="shared" si="44"/>
        <v>99485.90313274493</v>
      </c>
      <c r="G153" s="80">
        <f t="shared" si="45"/>
        <v>25504.779353471848</v>
      </c>
      <c r="H153" s="80">
        <f t="shared" si="46"/>
        <v>73981.12377927308</v>
      </c>
      <c r="I153" s="72">
        <f t="shared" si="47"/>
        <v>2840850.802331795</v>
      </c>
      <c r="K153" s="79"/>
      <c r="L153" s="80"/>
      <c r="M153" s="80"/>
      <c r="N153" s="80"/>
      <c r="O153" s="80"/>
      <c r="P153" s="80"/>
      <c r="Q153" s="72"/>
    </row>
    <row r="154" spans="3:17" ht="12.75">
      <c r="C154" s="79">
        <f t="shared" si="42"/>
        <v>148</v>
      </c>
      <c r="D154" s="80">
        <f t="shared" si="43"/>
        <v>2840850.802331795</v>
      </c>
      <c r="E154" s="80"/>
      <c r="F154" s="80">
        <f t="shared" si="44"/>
        <v>99485.90313274493</v>
      </c>
      <c r="G154" s="80">
        <f t="shared" si="45"/>
        <v>24857.444520403205</v>
      </c>
      <c r="H154" s="80">
        <f t="shared" si="46"/>
        <v>74628.45861234172</v>
      </c>
      <c r="I154" s="72">
        <f t="shared" si="47"/>
        <v>2766222.343719453</v>
      </c>
      <c r="K154" s="79"/>
      <c r="L154" s="80"/>
      <c r="M154" s="80"/>
      <c r="N154" s="80"/>
      <c r="O154" s="80"/>
      <c r="P154" s="80"/>
      <c r="Q154" s="72"/>
    </row>
    <row r="155" spans="3:17" ht="12.75">
      <c r="C155" s="79">
        <f t="shared" si="42"/>
        <v>149</v>
      </c>
      <c r="D155" s="80">
        <f t="shared" si="43"/>
        <v>2766222.343719453</v>
      </c>
      <c r="E155" s="80"/>
      <c r="F155" s="80">
        <f t="shared" si="44"/>
        <v>99485.90313274493</v>
      </c>
      <c r="G155" s="80">
        <f t="shared" si="45"/>
        <v>24204.445507545213</v>
      </c>
      <c r="H155" s="80">
        <f t="shared" si="46"/>
        <v>75281.45762519972</v>
      </c>
      <c r="I155" s="72">
        <f t="shared" si="47"/>
        <v>2690940.8860942535</v>
      </c>
      <c r="K155" s="79"/>
      <c r="L155" s="80"/>
      <c r="M155" s="80"/>
      <c r="N155" s="80"/>
      <c r="O155" s="80"/>
      <c r="P155" s="80"/>
      <c r="Q155" s="72"/>
    </row>
    <row r="156" spans="3:17" ht="12.75">
      <c r="C156" s="79">
        <f t="shared" si="42"/>
        <v>150</v>
      </c>
      <c r="D156" s="80">
        <f t="shared" si="43"/>
        <v>2690940.8860942535</v>
      </c>
      <c r="E156" s="80"/>
      <c r="F156" s="80">
        <f t="shared" si="44"/>
        <v>99485.90313274493</v>
      </c>
      <c r="G156" s="80">
        <f t="shared" si="45"/>
        <v>23545.732753324715</v>
      </c>
      <c r="H156" s="80">
        <f t="shared" si="46"/>
        <v>75940.17037942022</v>
      </c>
      <c r="I156" s="72">
        <f t="shared" si="47"/>
        <v>2615000.7157148332</v>
      </c>
      <c r="K156" s="79"/>
      <c r="L156" s="80"/>
      <c r="M156" s="80"/>
      <c r="N156" s="80"/>
      <c r="O156" s="80"/>
      <c r="P156" s="80"/>
      <c r="Q156" s="72"/>
    </row>
    <row r="157" spans="3:17" ht="12.75">
      <c r="C157" s="79">
        <f t="shared" si="42"/>
        <v>151</v>
      </c>
      <c r="D157" s="80">
        <f t="shared" si="43"/>
        <v>2615000.7157148332</v>
      </c>
      <c r="E157" s="80"/>
      <c r="F157" s="80">
        <f t="shared" si="44"/>
        <v>99485.90313274493</v>
      </c>
      <c r="G157" s="80">
        <f t="shared" si="45"/>
        <v>22881.25626250479</v>
      </c>
      <c r="H157" s="80">
        <f t="shared" si="46"/>
        <v>76604.64687024015</v>
      </c>
      <c r="I157" s="72">
        <f t="shared" si="47"/>
        <v>2538396.068844593</v>
      </c>
      <c r="K157" s="79"/>
      <c r="L157" s="80"/>
      <c r="M157" s="80"/>
      <c r="N157" s="80"/>
      <c r="O157" s="80"/>
      <c r="P157" s="80"/>
      <c r="Q157" s="72"/>
    </row>
    <row r="158" spans="3:17" ht="12.75">
      <c r="C158" s="79">
        <f t="shared" si="42"/>
        <v>152</v>
      </c>
      <c r="D158" s="80">
        <f t="shared" si="43"/>
        <v>2538396.068844593</v>
      </c>
      <c r="E158" s="80"/>
      <c r="F158" s="80">
        <f t="shared" si="44"/>
        <v>99485.90313274493</v>
      </c>
      <c r="G158" s="80">
        <f t="shared" si="45"/>
        <v>22210.965602390188</v>
      </c>
      <c r="H158" s="80">
        <f t="shared" si="46"/>
        <v>77274.93753035474</v>
      </c>
      <c r="I158" s="72">
        <f t="shared" si="47"/>
        <v>2461121.1313142385</v>
      </c>
      <c r="K158" s="79"/>
      <c r="L158" s="80"/>
      <c r="M158" s="80"/>
      <c r="N158" s="80"/>
      <c r="O158" s="80"/>
      <c r="P158" s="80"/>
      <c r="Q158" s="72"/>
    </row>
    <row r="159" spans="3:17" ht="12.75">
      <c r="C159" s="79">
        <f t="shared" si="42"/>
        <v>153</v>
      </c>
      <c r="D159" s="80">
        <f t="shared" si="43"/>
        <v>2461121.1313142385</v>
      </c>
      <c r="E159" s="80"/>
      <c r="F159" s="80">
        <f t="shared" si="44"/>
        <v>99485.90313274493</v>
      </c>
      <c r="G159" s="80">
        <f t="shared" si="45"/>
        <v>21534.80989899959</v>
      </c>
      <c r="H159" s="80">
        <f t="shared" si="46"/>
        <v>77951.09323374534</v>
      </c>
      <c r="I159" s="72">
        <f t="shared" si="47"/>
        <v>2383170.038080493</v>
      </c>
      <c r="K159" s="79"/>
      <c r="L159" s="80"/>
      <c r="M159" s="80"/>
      <c r="N159" s="80"/>
      <c r="O159" s="80"/>
      <c r="P159" s="80"/>
      <c r="Q159" s="72"/>
    </row>
    <row r="160" spans="3:17" ht="12.75">
      <c r="C160" s="79">
        <f t="shared" si="42"/>
        <v>154</v>
      </c>
      <c r="D160" s="80">
        <f t="shared" si="43"/>
        <v>2383170.038080493</v>
      </c>
      <c r="E160" s="80"/>
      <c r="F160" s="80">
        <f t="shared" si="44"/>
        <v>99485.90313274493</v>
      </c>
      <c r="G160" s="80">
        <f t="shared" si="45"/>
        <v>20852.73783320431</v>
      </c>
      <c r="H160" s="80">
        <f t="shared" si="46"/>
        <v>78633.16529954062</v>
      </c>
      <c r="I160" s="72">
        <f t="shared" si="47"/>
        <v>2304536.8727809526</v>
      </c>
      <c r="K160" s="79"/>
      <c r="L160" s="80"/>
      <c r="M160" s="80"/>
      <c r="N160" s="80"/>
      <c r="O160" s="80"/>
      <c r="P160" s="80"/>
      <c r="Q160" s="72"/>
    </row>
    <row r="161" spans="3:17" ht="12.75">
      <c r="C161" s="79">
        <f t="shared" si="42"/>
        <v>155</v>
      </c>
      <c r="D161" s="80">
        <f t="shared" si="43"/>
        <v>2304536.8727809526</v>
      </c>
      <c r="E161" s="80"/>
      <c r="F161" s="80">
        <f t="shared" si="44"/>
        <v>99485.90313274493</v>
      </c>
      <c r="G161" s="80">
        <f t="shared" si="45"/>
        <v>20164.697636833334</v>
      </c>
      <c r="H161" s="80">
        <f t="shared" si="46"/>
        <v>79321.20549591159</v>
      </c>
      <c r="I161" s="72">
        <f t="shared" si="47"/>
        <v>2225215.667285041</v>
      </c>
      <c r="K161" s="79"/>
      <c r="L161" s="80"/>
      <c r="M161" s="80"/>
      <c r="N161" s="80"/>
      <c r="O161" s="80"/>
      <c r="P161" s="80"/>
      <c r="Q161" s="72"/>
    </row>
    <row r="162" spans="3:17" ht="12.75">
      <c r="C162" s="79">
        <f t="shared" si="42"/>
        <v>156</v>
      </c>
      <c r="D162" s="80">
        <f t="shared" si="43"/>
        <v>2225215.667285041</v>
      </c>
      <c r="E162" s="80"/>
      <c r="F162" s="80">
        <f t="shared" si="44"/>
        <v>99485.90313274493</v>
      </c>
      <c r="G162" s="80">
        <f t="shared" si="45"/>
        <v>19470.637088744108</v>
      </c>
      <c r="H162" s="80">
        <f t="shared" si="46"/>
        <v>80015.26604400083</v>
      </c>
      <c r="I162" s="72">
        <f t="shared" si="47"/>
        <v>2145200.4012410403</v>
      </c>
      <c r="K162" s="79"/>
      <c r="L162" s="80"/>
      <c r="M162" s="80"/>
      <c r="N162" s="80"/>
      <c r="O162" s="80"/>
      <c r="P162" s="80"/>
      <c r="Q162" s="72"/>
    </row>
    <row r="163" spans="3:17" ht="12.75">
      <c r="C163" s="79">
        <f t="shared" si="42"/>
        <v>157</v>
      </c>
      <c r="D163" s="80">
        <f t="shared" si="43"/>
        <v>2145200.4012410403</v>
      </c>
      <c r="E163" s="80"/>
      <c r="F163" s="80">
        <f t="shared" si="44"/>
        <v>99485.90313274493</v>
      </c>
      <c r="G163" s="80">
        <f t="shared" si="45"/>
        <v>18770.5035108591</v>
      </c>
      <c r="H163" s="80">
        <f t="shared" si="46"/>
        <v>80715.39962188584</v>
      </c>
      <c r="I163" s="72">
        <f t="shared" si="47"/>
        <v>2064485.0016191546</v>
      </c>
      <c r="K163" s="79"/>
      <c r="L163" s="80"/>
      <c r="M163" s="80"/>
      <c r="N163" s="80"/>
      <c r="O163" s="80"/>
      <c r="P163" s="80"/>
      <c r="Q163" s="72"/>
    </row>
    <row r="164" spans="3:17" ht="12.75">
      <c r="C164" s="79">
        <f t="shared" si="42"/>
        <v>158</v>
      </c>
      <c r="D164" s="80">
        <f t="shared" si="43"/>
        <v>2064485.0016191546</v>
      </c>
      <c r="E164" s="80"/>
      <c r="F164" s="80">
        <f t="shared" si="44"/>
        <v>99485.90313274493</v>
      </c>
      <c r="G164" s="80">
        <f t="shared" si="45"/>
        <v>18064.243764167604</v>
      </c>
      <c r="H164" s="80">
        <f t="shared" si="46"/>
        <v>81421.65936857733</v>
      </c>
      <c r="I164" s="72">
        <f t="shared" si="47"/>
        <v>1983063.3422505772</v>
      </c>
      <c r="K164" s="79"/>
      <c r="L164" s="80"/>
      <c r="M164" s="80"/>
      <c r="N164" s="80"/>
      <c r="O164" s="80"/>
      <c r="P164" s="80"/>
      <c r="Q164" s="72"/>
    </row>
    <row r="165" spans="3:17" ht="12.75">
      <c r="C165" s="79">
        <f t="shared" si="42"/>
        <v>159</v>
      </c>
      <c r="D165" s="80">
        <f t="shared" si="43"/>
        <v>1983063.3422505772</v>
      </c>
      <c r="E165" s="80"/>
      <c r="F165" s="80">
        <f t="shared" si="44"/>
        <v>99485.90313274493</v>
      </c>
      <c r="G165" s="80">
        <f t="shared" si="45"/>
        <v>17351.80424469255</v>
      </c>
      <c r="H165" s="80">
        <f t="shared" si="46"/>
        <v>82134.09888805238</v>
      </c>
      <c r="I165" s="72">
        <f t="shared" si="47"/>
        <v>1900929.2433625248</v>
      </c>
      <c r="K165" s="79"/>
      <c r="L165" s="80"/>
      <c r="M165" s="80"/>
      <c r="N165" s="80"/>
      <c r="O165" s="80"/>
      <c r="P165" s="80"/>
      <c r="Q165" s="72"/>
    </row>
    <row r="166" spans="3:17" ht="12.75">
      <c r="C166" s="79">
        <f t="shared" si="42"/>
        <v>160</v>
      </c>
      <c r="D166" s="80">
        <f t="shared" si="43"/>
        <v>1900929.2433625248</v>
      </c>
      <c r="E166" s="80"/>
      <c r="F166" s="80">
        <f t="shared" si="44"/>
        <v>99485.90313274493</v>
      </c>
      <c r="G166" s="80">
        <f t="shared" si="45"/>
        <v>16633.130879422093</v>
      </c>
      <c r="H166" s="80">
        <f t="shared" si="46"/>
        <v>82852.77225332284</v>
      </c>
      <c r="I166" s="72">
        <f t="shared" si="47"/>
        <v>1818076.471109202</v>
      </c>
      <c r="K166" s="79"/>
      <c r="L166" s="80"/>
      <c r="M166" s="80"/>
      <c r="N166" s="80"/>
      <c r="O166" s="80"/>
      <c r="P166" s="80"/>
      <c r="Q166" s="72"/>
    </row>
    <row r="167" spans="3:17" ht="12.75">
      <c r="C167" s="79">
        <f t="shared" si="42"/>
        <v>161</v>
      </c>
      <c r="D167" s="80">
        <f t="shared" si="43"/>
        <v>1818076.471109202</v>
      </c>
      <c r="E167" s="80"/>
      <c r="F167" s="80">
        <f t="shared" si="44"/>
        <v>99485.90313274493</v>
      </c>
      <c r="G167" s="80">
        <f t="shared" si="45"/>
        <v>15908.169122205516</v>
      </c>
      <c r="H167" s="80">
        <f t="shared" si="46"/>
        <v>83577.73401053943</v>
      </c>
      <c r="I167" s="72">
        <f t="shared" si="47"/>
        <v>1734498.7370986624</v>
      </c>
      <c r="K167" s="79"/>
      <c r="L167" s="80"/>
      <c r="M167" s="80"/>
      <c r="N167" s="80"/>
      <c r="O167" s="80"/>
      <c r="P167" s="80"/>
      <c r="Q167" s="72"/>
    </row>
    <row r="168" spans="3:17" ht="12.75">
      <c r="C168" s="79">
        <f t="shared" si="42"/>
        <v>162</v>
      </c>
      <c r="D168" s="80">
        <f t="shared" si="43"/>
        <v>1734498.7370986624</v>
      </c>
      <c r="E168" s="80"/>
      <c r="F168" s="80">
        <f t="shared" si="44"/>
        <v>99485.90313274493</v>
      </c>
      <c r="G168" s="80">
        <f t="shared" si="45"/>
        <v>15176.863949613296</v>
      </c>
      <c r="H168" s="80">
        <f t="shared" si="46"/>
        <v>84309.03918313164</v>
      </c>
      <c r="I168" s="72">
        <f t="shared" si="47"/>
        <v>1650189.6979155308</v>
      </c>
      <c r="K168" s="79"/>
      <c r="L168" s="80"/>
      <c r="M168" s="80"/>
      <c r="N168" s="80"/>
      <c r="O168" s="80"/>
      <c r="P168" s="80"/>
      <c r="Q168" s="72"/>
    </row>
    <row r="169" spans="3:17" ht="12.75">
      <c r="C169" s="79">
        <f t="shared" si="42"/>
        <v>163</v>
      </c>
      <c r="D169" s="80">
        <f t="shared" si="43"/>
        <v>1650189.6979155308</v>
      </c>
      <c r="E169" s="80"/>
      <c r="F169" s="80">
        <f t="shared" si="44"/>
        <v>99485.90313274493</v>
      </c>
      <c r="G169" s="80">
        <f t="shared" si="45"/>
        <v>14439.159856760894</v>
      </c>
      <c r="H169" s="80">
        <f t="shared" si="46"/>
        <v>85046.74327598404</v>
      </c>
      <c r="I169" s="72">
        <f t="shared" si="47"/>
        <v>1565142.9546395468</v>
      </c>
      <c r="K169" s="79"/>
      <c r="L169" s="80"/>
      <c r="M169" s="80"/>
      <c r="N169" s="80"/>
      <c r="O169" s="80"/>
      <c r="P169" s="80"/>
      <c r="Q169" s="72"/>
    </row>
    <row r="170" spans="3:17" ht="12.75">
      <c r="C170" s="79">
        <f t="shared" si="42"/>
        <v>164</v>
      </c>
      <c r="D170" s="80">
        <f t="shared" si="43"/>
        <v>1565142.9546395468</v>
      </c>
      <c r="E170" s="80"/>
      <c r="F170" s="80">
        <f t="shared" si="44"/>
        <v>99485.90313274493</v>
      </c>
      <c r="G170" s="80">
        <f t="shared" si="45"/>
        <v>13695.000853096033</v>
      </c>
      <c r="H170" s="80">
        <f t="shared" si="46"/>
        <v>85790.9022796489</v>
      </c>
      <c r="I170" s="72">
        <f t="shared" si="47"/>
        <v>1479352.0523598979</v>
      </c>
      <c r="K170" s="79"/>
      <c r="L170" s="80"/>
      <c r="M170" s="80"/>
      <c r="N170" s="80"/>
      <c r="O170" s="80"/>
      <c r="P170" s="80"/>
      <c r="Q170" s="72"/>
    </row>
    <row r="171" spans="3:17" ht="12.75">
      <c r="C171" s="79">
        <f t="shared" si="42"/>
        <v>165</v>
      </c>
      <c r="D171" s="80">
        <f t="shared" si="43"/>
        <v>1479352.0523598979</v>
      </c>
      <c r="E171" s="80"/>
      <c r="F171" s="80">
        <f t="shared" si="44"/>
        <v>99485.90313274493</v>
      </c>
      <c r="G171" s="80">
        <f t="shared" si="45"/>
        <v>12944.330458149105</v>
      </c>
      <c r="H171" s="80">
        <f t="shared" si="46"/>
        <v>86541.57267459582</v>
      </c>
      <c r="I171" s="72">
        <f t="shared" si="47"/>
        <v>1392810.4796853021</v>
      </c>
      <c r="K171" s="79"/>
      <c r="L171" s="80"/>
      <c r="M171" s="80"/>
      <c r="N171" s="80"/>
      <c r="O171" s="80"/>
      <c r="P171" s="80"/>
      <c r="Q171" s="72"/>
    </row>
    <row r="172" spans="3:17" ht="12.75">
      <c r="C172" s="79">
        <f aca="true" t="shared" si="48" ref="C172:C186">+C171+1</f>
        <v>166</v>
      </c>
      <c r="D172" s="80">
        <f aca="true" t="shared" si="49" ref="D172:D186">+I171</f>
        <v>1392810.4796853021</v>
      </c>
      <c r="E172" s="80"/>
      <c r="F172" s="80">
        <f aca="true" t="shared" si="50" ref="F172:F186">+F171</f>
        <v>99485.90313274493</v>
      </c>
      <c r="G172" s="80">
        <f aca="true" t="shared" si="51" ref="G172:G186">+D172*G$5/12</f>
        <v>12187.091697246395</v>
      </c>
      <c r="H172" s="80">
        <f aca="true" t="shared" si="52" ref="H172:H186">+F172-G172</f>
        <v>87298.81143549854</v>
      </c>
      <c r="I172" s="72">
        <f aca="true" t="shared" si="53" ref="I172:I185">+D172-H172</f>
        <v>1305511.6682498036</v>
      </c>
      <c r="K172" s="79"/>
      <c r="L172" s="80"/>
      <c r="M172" s="80"/>
      <c r="N172" s="80"/>
      <c r="O172" s="80"/>
      <c r="P172" s="80"/>
      <c r="Q172" s="72"/>
    </row>
    <row r="173" spans="3:17" ht="12.75">
      <c r="C173" s="79">
        <f t="shared" si="48"/>
        <v>167</v>
      </c>
      <c r="D173" s="80">
        <f t="shared" si="49"/>
        <v>1305511.6682498036</v>
      </c>
      <c r="E173" s="80"/>
      <c r="F173" s="80">
        <f t="shared" si="50"/>
        <v>99485.90313274493</v>
      </c>
      <c r="G173" s="80">
        <f t="shared" si="51"/>
        <v>11423.227097185782</v>
      </c>
      <c r="H173" s="80">
        <f t="shared" si="52"/>
        <v>88062.67603555915</v>
      </c>
      <c r="I173" s="72">
        <f t="shared" si="53"/>
        <v>1217448.9922142443</v>
      </c>
      <c r="K173" s="79"/>
      <c r="L173" s="80"/>
      <c r="M173" s="80"/>
      <c r="N173" s="80"/>
      <c r="O173" s="80"/>
      <c r="P173" s="80"/>
      <c r="Q173" s="72"/>
    </row>
    <row r="174" spans="3:17" ht="12.75">
      <c r="C174" s="79">
        <f t="shared" si="48"/>
        <v>168</v>
      </c>
      <c r="D174" s="80">
        <f t="shared" si="49"/>
        <v>1217448.9922142443</v>
      </c>
      <c r="E174" s="80"/>
      <c r="F174" s="80">
        <f t="shared" si="50"/>
        <v>99485.90313274493</v>
      </c>
      <c r="G174" s="80">
        <f t="shared" si="51"/>
        <v>10652.678681874639</v>
      </c>
      <c r="H174" s="80">
        <f t="shared" si="52"/>
        <v>88833.2244508703</v>
      </c>
      <c r="I174" s="72">
        <f t="shared" si="53"/>
        <v>1128615.767763374</v>
      </c>
      <c r="K174" s="79"/>
      <c r="L174" s="80"/>
      <c r="M174" s="80"/>
      <c r="N174" s="80"/>
      <c r="O174" s="80"/>
      <c r="P174" s="80"/>
      <c r="Q174" s="72"/>
    </row>
    <row r="175" spans="3:17" ht="12.75">
      <c r="C175" s="79">
        <f t="shared" si="48"/>
        <v>169</v>
      </c>
      <c r="D175" s="80">
        <f t="shared" si="49"/>
        <v>1128615.767763374</v>
      </c>
      <c r="E175" s="80"/>
      <c r="F175" s="80">
        <f t="shared" si="50"/>
        <v>99485.90313274493</v>
      </c>
      <c r="G175" s="80">
        <f t="shared" si="51"/>
        <v>9875.387967929522</v>
      </c>
      <c r="H175" s="80">
        <f t="shared" si="52"/>
        <v>89610.51516481541</v>
      </c>
      <c r="I175" s="72">
        <f t="shared" si="53"/>
        <v>1039005.2525985586</v>
      </c>
      <c r="K175" s="79"/>
      <c r="L175" s="80"/>
      <c r="M175" s="80"/>
      <c r="N175" s="80"/>
      <c r="O175" s="80"/>
      <c r="P175" s="80"/>
      <c r="Q175" s="72"/>
    </row>
    <row r="176" spans="3:17" ht="12.75">
      <c r="C176" s="79">
        <f t="shared" si="48"/>
        <v>170</v>
      </c>
      <c r="D176" s="80">
        <f t="shared" si="49"/>
        <v>1039005.2525985586</v>
      </c>
      <c r="E176" s="80"/>
      <c r="F176" s="80">
        <f t="shared" si="50"/>
        <v>99485.90313274493</v>
      </c>
      <c r="G176" s="80">
        <f t="shared" si="51"/>
        <v>9091.295960237387</v>
      </c>
      <c r="H176" s="80">
        <f t="shared" si="52"/>
        <v>90394.60717250755</v>
      </c>
      <c r="I176" s="72">
        <f t="shared" si="53"/>
        <v>948610.645426051</v>
      </c>
      <c r="K176" s="79"/>
      <c r="L176" s="80"/>
      <c r="M176" s="80"/>
      <c r="N176" s="80"/>
      <c r="O176" s="80"/>
      <c r="P176" s="80"/>
      <c r="Q176" s="72"/>
    </row>
    <row r="177" spans="3:17" ht="12.75">
      <c r="C177" s="79">
        <f t="shared" si="48"/>
        <v>171</v>
      </c>
      <c r="D177" s="80">
        <f t="shared" si="49"/>
        <v>948610.645426051</v>
      </c>
      <c r="E177" s="80"/>
      <c r="F177" s="80">
        <f t="shared" si="50"/>
        <v>99485.90313274493</v>
      </c>
      <c r="G177" s="80">
        <f t="shared" si="51"/>
        <v>8300.343147477946</v>
      </c>
      <c r="H177" s="80">
        <f t="shared" si="52"/>
        <v>91185.55998526698</v>
      </c>
      <c r="I177" s="72">
        <f t="shared" si="53"/>
        <v>857425.085440784</v>
      </c>
      <c r="K177" s="79"/>
      <c r="L177" s="80"/>
      <c r="M177" s="80"/>
      <c r="N177" s="80"/>
      <c r="O177" s="80"/>
      <c r="P177" s="80"/>
      <c r="Q177" s="72"/>
    </row>
    <row r="178" spans="3:17" ht="12.75">
      <c r="C178" s="79">
        <f t="shared" si="48"/>
        <v>172</v>
      </c>
      <c r="D178" s="80">
        <f t="shared" si="49"/>
        <v>857425.085440784</v>
      </c>
      <c r="E178" s="80"/>
      <c r="F178" s="80">
        <f t="shared" si="50"/>
        <v>99485.90313274493</v>
      </c>
      <c r="G178" s="80">
        <f t="shared" si="51"/>
        <v>7502.4694976068595</v>
      </c>
      <c r="H178" s="80">
        <f t="shared" si="52"/>
        <v>91983.43363513808</v>
      </c>
      <c r="I178" s="72">
        <f t="shared" si="53"/>
        <v>765441.6518056459</v>
      </c>
      <c r="K178" s="79"/>
      <c r="L178" s="80"/>
      <c r="M178" s="80"/>
      <c r="N178" s="80"/>
      <c r="O178" s="80"/>
      <c r="P178" s="80"/>
      <c r="Q178" s="72"/>
    </row>
    <row r="179" spans="3:17" ht="12.75">
      <c r="C179" s="79">
        <f t="shared" si="48"/>
        <v>173</v>
      </c>
      <c r="D179" s="80">
        <f t="shared" si="49"/>
        <v>765441.6518056459</v>
      </c>
      <c r="E179" s="80"/>
      <c r="F179" s="80">
        <f t="shared" si="50"/>
        <v>99485.90313274493</v>
      </c>
      <c r="G179" s="80">
        <f t="shared" si="51"/>
        <v>6697.614453299401</v>
      </c>
      <c r="H179" s="80">
        <f t="shared" si="52"/>
        <v>92788.28867944553</v>
      </c>
      <c r="I179" s="72">
        <f t="shared" si="53"/>
        <v>672653.3631262004</v>
      </c>
      <c r="K179" s="79"/>
      <c r="L179" s="80"/>
      <c r="M179" s="80"/>
      <c r="N179" s="80"/>
      <c r="O179" s="80"/>
      <c r="P179" s="80"/>
      <c r="Q179" s="72"/>
    </row>
    <row r="180" spans="3:17" ht="12.75">
      <c r="C180" s="79">
        <f t="shared" si="48"/>
        <v>174</v>
      </c>
      <c r="D180" s="80">
        <f t="shared" si="49"/>
        <v>672653.3631262004</v>
      </c>
      <c r="E180" s="80"/>
      <c r="F180" s="80">
        <f t="shared" si="50"/>
        <v>99485.90313274493</v>
      </c>
      <c r="G180" s="80">
        <f t="shared" si="51"/>
        <v>5885.716927354253</v>
      </c>
      <c r="H180" s="80">
        <f t="shared" si="52"/>
        <v>93600.18620539068</v>
      </c>
      <c r="I180" s="72">
        <f t="shared" si="53"/>
        <v>579053.1769208097</v>
      </c>
      <c r="K180" s="79"/>
      <c r="L180" s="80"/>
      <c r="M180" s="80"/>
      <c r="N180" s="80"/>
      <c r="O180" s="80"/>
      <c r="P180" s="80"/>
      <c r="Q180" s="72"/>
    </row>
    <row r="181" spans="3:17" ht="12.75">
      <c r="C181" s="79">
        <f t="shared" si="48"/>
        <v>175</v>
      </c>
      <c r="D181" s="80">
        <f t="shared" si="49"/>
        <v>579053.1769208097</v>
      </c>
      <c r="E181" s="80"/>
      <c r="F181" s="80">
        <f t="shared" si="50"/>
        <v>99485.90313274493</v>
      </c>
      <c r="G181" s="80">
        <f t="shared" si="51"/>
        <v>5066.7152980570845</v>
      </c>
      <c r="H181" s="80">
        <f t="shared" si="52"/>
        <v>94419.18783468785</v>
      </c>
      <c r="I181" s="72">
        <f t="shared" si="53"/>
        <v>484633.9890861218</v>
      </c>
      <c r="K181" s="79"/>
      <c r="L181" s="80"/>
      <c r="M181" s="80"/>
      <c r="N181" s="80"/>
      <c r="O181" s="80"/>
      <c r="P181" s="80"/>
      <c r="Q181" s="72"/>
    </row>
    <row r="182" spans="3:17" ht="12.75">
      <c r="C182" s="79">
        <f t="shared" si="48"/>
        <v>176</v>
      </c>
      <c r="D182" s="80">
        <f t="shared" si="49"/>
        <v>484633.9890861218</v>
      </c>
      <c r="E182" s="80"/>
      <c r="F182" s="80">
        <f t="shared" si="50"/>
        <v>99485.90313274493</v>
      </c>
      <c r="G182" s="80">
        <f t="shared" si="51"/>
        <v>4240.547404503565</v>
      </c>
      <c r="H182" s="80">
        <f t="shared" si="52"/>
        <v>95245.35572824137</v>
      </c>
      <c r="I182" s="72">
        <f t="shared" si="53"/>
        <v>389388.6333578804</v>
      </c>
      <c r="K182" s="79"/>
      <c r="L182" s="80"/>
      <c r="M182" s="80"/>
      <c r="N182" s="80"/>
      <c r="O182" s="80"/>
      <c r="P182" s="80"/>
      <c r="Q182" s="72"/>
    </row>
    <row r="183" spans="3:17" ht="12.75">
      <c r="C183" s="79">
        <f t="shared" si="48"/>
        <v>177</v>
      </c>
      <c r="D183" s="80">
        <f t="shared" si="49"/>
        <v>389388.6333578804</v>
      </c>
      <c r="E183" s="80"/>
      <c r="F183" s="80">
        <f t="shared" si="50"/>
        <v>99485.90313274493</v>
      </c>
      <c r="G183" s="80">
        <f t="shared" si="51"/>
        <v>3407.1505418814536</v>
      </c>
      <c r="H183" s="80">
        <f t="shared" si="52"/>
        <v>96078.75259086349</v>
      </c>
      <c r="I183" s="72">
        <f t="shared" si="53"/>
        <v>293309.8807670169</v>
      </c>
      <c r="K183" s="79"/>
      <c r="L183" s="80"/>
      <c r="M183" s="80"/>
      <c r="N183" s="80"/>
      <c r="O183" s="80"/>
      <c r="P183" s="80"/>
      <c r="Q183" s="72"/>
    </row>
    <row r="184" spans="3:17" ht="12.75">
      <c r="C184" s="79">
        <f t="shared" si="48"/>
        <v>178</v>
      </c>
      <c r="D184" s="80">
        <f t="shared" si="49"/>
        <v>293309.8807670169</v>
      </c>
      <c r="E184" s="80"/>
      <c r="F184" s="80">
        <f t="shared" si="50"/>
        <v>99485.90313274493</v>
      </c>
      <c r="G184" s="80">
        <f t="shared" si="51"/>
        <v>2566.461456711398</v>
      </c>
      <c r="H184" s="80">
        <f t="shared" si="52"/>
        <v>96919.44167603353</v>
      </c>
      <c r="I184" s="72">
        <f t="shared" si="53"/>
        <v>196390.43909098336</v>
      </c>
      <c r="K184" s="79"/>
      <c r="L184" s="80"/>
      <c r="M184" s="80"/>
      <c r="N184" s="80"/>
      <c r="O184" s="80"/>
      <c r="P184" s="80"/>
      <c r="Q184" s="72"/>
    </row>
    <row r="185" spans="3:17" ht="12.75">
      <c r="C185" s="79">
        <f t="shared" si="48"/>
        <v>179</v>
      </c>
      <c r="D185" s="80">
        <f t="shared" si="49"/>
        <v>196390.43909098336</v>
      </c>
      <c r="E185" s="80"/>
      <c r="F185" s="80">
        <f t="shared" si="50"/>
        <v>99485.90313274493</v>
      </c>
      <c r="G185" s="80">
        <f t="shared" si="51"/>
        <v>1718.4163420461043</v>
      </c>
      <c r="H185" s="80">
        <f t="shared" si="52"/>
        <v>97767.48679069884</v>
      </c>
      <c r="I185" s="72">
        <f t="shared" si="53"/>
        <v>98622.95230028452</v>
      </c>
      <c r="K185" s="79"/>
      <c r="L185" s="80"/>
      <c r="M185" s="80"/>
      <c r="N185" s="80"/>
      <c r="O185" s="80"/>
      <c r="P185" s="80"/>
      <c r="Q185" s="72"/>
    </row>
    <row r="186" spans="3:17" ht="12.75">
      <c r="C186" s="79">
        <f t="shared" si="48"/>
        <v>180</v>
      </c>
      <c r="D186" s="80">
        <f t="shared" si="49"/>
        <v>98622.95230028452</v>
      </c>
      <c r="E186" s="80"/>
      <c r="F186" s="80">
        <f t="shared" si="50"/>
        <v>99485.90313274493</v>
      </c>
      <c r="G186" s="80">
        <f t="shared" si="51"/>
        <v>862.9508326274895</v>
      </c>
      <c r="H186" s="80">
        <f t="shared" si="52"/>
        <v>98622.95230011744</v>
      </c>
      <c r="I186" s="72">
        <f>+D186-H186</f>
        <v>1.670850906521082E-07</v>
      </c>
      <c r="K186" s="79"/>
      <c r="L186" s="80"/>
      <c r="M186" s="80"/>
      <c r="N186" s="80"/>
      <c r="O186" s="80"/>
      <c r="P186" s="80"/>
      <c r="Q186" s="72"/>
    </row>
    <row r="187" spans="3:17" ht="12.75">
      <c r="C187" s="76"/>
      <c r="D187" s="77"/>
      <c r="E187" s="77"/>
      <c r="F187" s="77"/>
      <c r="G187" s="77"/>
      <c r="H187" s="77"/>
      <c r="I187" s="78"/>
      <c r="K187" s="76"/>
      <c r="L187" s="77"/>
      <c r="M187" s="77"/>
      <c r="N187" s="77"/>
      <c r="O187" s="77"/>
      <c r="P187" s="77"/>
      <c r="Q187" s="7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3:P13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0.00390625" style="0" bestFit="1" customWidth="1"/>
    <col min="6" max="6" width="9.28125" style="0" bestFit="1" customWidth="1"/>
    <col min="7" max="8" width="10.00390625" style="0" bestFit="1" customWidth="1"/>
    <col min="13" max="13" width="10.00390625" style="0" bestFit="1" customWidth="1"/>
    <col min="14" max="14" width="9.28125" style="0" bestFit="1" customWidth="1"/>
    <col min="15" max="16" width="10.00390625" style="0" bestFit="1" customWidth="1"/>
  </cols>
  <sheetData>
    <row r="3" spans="3:6" ht="12.75">
      <c r="C3" t="s">
        <v>264</v>
      </c>
      <c r="F3">
        <v>25000</v>
      </c>
    </row>
    <row r="4" spans="3:14" ht="12.75">
      <c r="C4" t="s">
        <v>265</v>
      </c>
      <c r="F4" s="194">
        <v>0.2</v>
      </c>
      <c r="N4" s="194"/>
    </row>
    <row r="5" spans="3:15" ht="12.75">
      <c r="C5" t="s">
        <v>266</v>
      </c>
      <c r="F5" s="195">
        <v>500</v>
      </c>
      <c r="G5" s="196"/>
      <c r="N5" s="195"/>
      <c r="O5" s="196"/>
    </row>
    <row r="7" spans="3:16" ht="12.75">
      <c r="C7" t="s">
        <v>95</v>
      </c>
      <c r="E7" s="197">
        <f>+F3</f>
        <v>25000</v>
      </c>
      <c r="F7" s="197">
        <f>+E7*(F$4/12)</f>
        <v>416.6666666666667</v>
      </c>
      <c r="G7" s="197">
        <v>500</v>
      </c>
      <c r="H7" s="197">
        <f>+E7+F7-G7</f>
        <v>24916.666666666668</v>
      </c>
      <c r="M7" s="197"/>
      <c r="N7" s="197"/>
      <c r="O7" s="197"/>
      <c r="P7" s="197"/>
    </row>
    <row r="8" spans="3:16" ht="12.75">
      <c r="C8">
        <v>1</v>
      </c>
      <c r="E8" s="197">
        <f>+H7</f>
        <v>24916.666666666668</v>
      </c>
      <c r="F8" s="197">
        <f aca="true" t="shared" si="0" ref="F8:F32">+E8*(F$4/12)</f>
        <v>415.27777777777777</v>
      </c>
      <c r="G8" s="197">
        <f>+G7</f>
        <v>500</v>
      </c>
      <c r="H8" s="197">
        <f aca="true" t="shared" si="1" ref="H8:H32">+E8+F8-G8</f>
        <v>24831.944444444445</v>
      </c>
      <c r="M8" s="197"/>
      <c r="N8" s="197"/>
      <c r="O8" s="197"/>
      <c r="P8" s="197"/>
    </row>
    <row r="9" spans="3:16" ht="12.75">
      <c r="C9">
        <v>2</v>
      </c>
      <c r="E9" s="197">
        <f aca="true" t="shared" si="2" ref="E9:E32">+H8</f>
        <v>24831.944444444445</v>
      </c>
      <c r="F9" s="197">
        <f t="shared" si="0"/>
        <v>413.86574074074076</v>
      </c>
      <c r="G9" s="197">
        <f aca="true" t="shared" si="3" ref="G9:G31">+G8</f>
        <v>500</v>
      </c>
      <c r="H9" s="197">
        <f t="shared" si="1"/>
        <v>24745.810185185186</v>
      </c>
      <c r="M9" s="197"/>
      <c r="N9" s="197"/>
      <c r="O9" s="197"/>
      <c r="P9" s="197"/>
    </row>
    <row r="10" spans="3:16" ht="12.75">
      <c r="C10">
        <f>+C9+1</f>
        <v>3</v>
      </c>
      <c r="E10" s="197">
        <f t="shared" si="2"/>
        <v>24745.810185185186</v>
      </c>
      <c r="F10" s="197">
        <f t="shared" si="0"/>
        <v>412.43016975308643</v>
      </c>
      <c r="G10" s="197">
        <f t="shared" si="3"/>
        <v>500</v>
      </c>
      <c r="H10" s="197">
        <f t="shared" si="1"/>
        <v>24658.240354938273</v>
      </c>
      <c r="M10" s="197"/>
      <c r="N10" s="197"/>
      <c r="O10" s="197"/>
      <c r="P10" s="197"/>
    </row>
    <row r="11" spans="3:16" ht="12.75">
      <c r="C11">
        <f aca="true" t="shared" si="4" ref="C11:C74">+C10+1</f>
        <v>4</v>
      </c>
      <c r="E11" s="197">
        <f t="shared" si="2"/>
        <v>24658.240354938273</v>
      </c>
      <c r="F11" s="197">
        <f t="shared" si="0"/>
        <v>410.97067258230453</v>
      </c>
      <c r="G11" s="197">
        <f t="shared" si="3"/>
        <v>500</v>
      </c>
      <c r="H11" s="197">
        <f t="shared" si="1"/>
        <v>24569.211027520578</v>
      </c>
      <c r="M11" s="197"/>
      <c r="N11" s="197"/>
      <c r="O11" s="197"/>
      <c r="P11" s="197"/>
    </row>
    <row r="12" spans="3:16" ht="12.75">
      <c r="C12">
        <f t="shared" si="4"/>
        <v>5</v>
      </c>
      <c r="E12" s="197">
        <f t="shared" si="2"/>
        <v>24569.211027520578</v>
      </c>
      <c r="F12" s="197">
        <f t="shared" si="0"/>
        <v>409.4868504586763</v>
      </c>
      <c r="G12" s="197">
        <f t="shared" si="3"/>
        <v>500</v>
      </c>
      <c r="H12" s="197">
        <f t="shared" si="1"/>
        <v>24478.697877979255</v>
      </c>
      <c r="M12" s="197"/>
      <c r="N12" s="197"/>
      <c r="O12" s="197"/>
      <c r="P12" s="197"/>
    </row>
    <row r="13" spans="3:16" ht="12.75">
      <c r="C13">
        <f t="shared" si="4"/>
        <v>6</v>
      </c>
      <c r="E13" s="197">
        <f t="shared" si="2"/>
        <v>24478.697877979255</v>
      </c>
      <c r="F13" s="197">
        <f t="shared" si="0"/>
        <v>407.9782979663209</v>
      </c>
      <c r="G13" s="197">
        <f t="shared" si="3"/>
        <v>500</v>
      </c>
      <c r="H13" s="197">
        <f t="shared" si="1"/>
        <v>24386.676175945577</v>
      </c>
      <c r="M13" s="197"/>
      <c r="N13" s="197"/>
      <c r="O13" s="197"/>
      <c r="P13" s="197"/>
    </row>
    <row r="14" spans="3:16" ht="12.75">
      <c r="C14">
        <f t="shared" si="4"/>
        <v>7</v>
      </c>
      <c r="E14" s="197">
        <f t="shared" si="2"/>
        <v>24386.676175945577</v>
      </c>
      <c r="F14" s="197">
        <f t="shared" si="0"/>
        <v>406.4446029324263</v>
      </c>
      <c r="G14" s="197">
        <f t="shared" si="3"/>
        <v>500</v>
      </c>
      <c r="H14" s="197">
        <f t="shared" si="1"/>
        <v>24293.120778878</v>
      </c>
      <c r="M14" s="197"/>
      <c r="N14" s="197"/>
      <c r="O14" s="197"/>
      <c r="P14" s="197"/>
    </row>
    <row r="15" spans="3:16" ht="12.75">
      <c r="C15">
        <f t="shared" si="4"/>
        <v>8</v>
      </c>
      <c r="E15" s="197">
        <f t="shared" si="2"/>
        <v>24293.120778878</v>
      </c>
      <c r="F15" s="197">
        <f t="shared" si="0"/>
        <v>404.88534631463335</v>
      </c>
      <c r="G15" s="197">
        <f t="shared" si="3"/>
        <v>500</v>
      </c>
      <c r="H15" s="197">
        <f t="shared" si="1"/>
        <v>24198.006125192634</v>
      </c>
      <c r="M15" s="197"/>
      <c r="N15" s="197"/>
      <c r="O15" s="197"/>
      <c r="P15" s="197"/>
    </row>
    <row r="16" spans="3:16" ht="12.75">
      <c r="C16">
        <f t="shared" si="4"/>
        <v>9</v>
      </c>
      <c r="E16" s="197">
        <f t="shared" si="2"/>
        <v>24198.006125192634</v>
      </c>
      <c r="F16" s="197">
        <f t="shared" si="0"/>
        <v>403.3001020865439</v>
      </c>
      <c r="G16" s="197">
        <f t="shared" si="3"/>
        <v>500</v>
      </c>
      <c r="H16" s="197">
        <f t="shared" si="1"/>
        <v>24101.30622727918</v>
      </c>
      <c r="M16" s="197"/>
      <c r="N16" s="197"/>
      <c r="O16" s="197"/>
      <c r="P16" s="197"/>
    </row>
    <row r="17" spans="3:16" ht="12.75">
      <c r="C17">
        <f t="shared" si="4"/>
        <v>10</v>
      </c>
      <c r="E17" s="197">
        <f t="shared" si="2"/>
        <v>24101.30622727918</v>
      </c>
      <c r="F17" s="197">
        <f t="shared" si="0"/>
        <v>401.6884371213197</v>
      </c>
      <c r="G17" s="197">
        <f t="shared" si="3"/>
        <v>500</v>
      </c>
      <c r="H17" s="197">
        <f t="shared" si="1"/>
        <v>24002.9946644005</v>
      </c>
      <c r="M17" s="197"/>
      <c r="N17" s="197"/>
      <c r="O17" s="197"/>
      <c r="P17" s="197"/>
    </row>
    <row r="18" spans="3:16" ht="12.75">
      <c r="C18">
        <f t="shared" si="4"/>
        <v>11</v>
      </c>
      <c r="E18" s="197">
        <f t="shared" si="2"/>
        <v>24002.9946644005</v>
      </c>
      <c r="F18" s="197">
        <f t="shared" si="0"/>
        <v>400.04991107334166</v>
      </c>
      <c r="G18" s="197">
        <f t="shared" si="3"/>
        <v>500</v>
      </c>
      <c r="H18" s="197">
        <f t="shared" si="1"/>
        <v>23903.04457547384</v>
      </c>
      <c r="M18" s="197"/>
      <c r="N18" s="197"/>
      <c r="O18" s="197"/>
      <c r="P18" s="197"/>
    </row>
    <row r="19" spans="3:16" ht="12.75">
      <c r="C19">
        <f t="shared" si="4"/>
        <v>12</v>
      </c>
      <c r="E19" s="197">
        <f t="shared" si="2"/>
        <v>23903.04457547384</v>
      </c>
      <c r="F19" s="197">
        <f t="shared" si="0"/>
        <v>398.38407625789733</v>
      </c>
      <c r="G19" s="197">
        <f t="shared" si="3"/>
        <v>500</v>
      </c>
      <c r="H19" s="197">
        <f t="shared" si="1"/>
        <v>23801.428651731738</v>
      </c>
      <c r="M19" s="197"/>
      <c r="N19" s="197"/>
      <c r="O19" s="197"/>
      <c r="P19" s="197"/>
    </row>
    <row r="20" spans="3:16" ht="12.75">
      <c r="C20">
        <f t="shared" si="4"/>
        <v>13</v>
      </c>
      <c r="E20" s="197">
        <f t="shared" si="2"/>
        <v>23801.428651731738</v>
      </c>
      <c r="F20" s="197">
        <f t="shared" si="0"/>
        <v>396.6904775288623</v>
      </c>
      <c r="G20" s="197">
        <f t="shared" si="3"/>
        <v>500</v>
      </c>
      <c r="H20" s="197">
        <f t="shared" si="1"/>
        <v>23698.1191292606</v>
      </c>
      <c r="M20" s="197"/>
      <c r="N20" s="197"/>
      <c r="O20" s="197"/>
      <c r="P20" s="197"/>
    </row>
    <row r="21" spans="3:16" ht="12.75">
      <c r="C21">
        <f t="shared" si="4"/>
        <v>14</v>
      </c>
      <c r="E21" s="197">
        <f t="shared" si="2"/>
        <v>23698.1191292606</v>
      </c>
      <c r="F21" s="197">
        <f t="shared" si="0"/>
        <v>394.9686521543434</v>
      </c>
      <c r="G21" s="197">
        <f t="shared" si="3"/>
        <v>500</v>
      </c>
      <c r="H21" s="197">
        <f t="shared" si="1"/>
        <v>23593.087781414946</v>
      </c>
      <c r="M21" s="197"/>
      <c r="N21" s="197"/>
      <c r="O21" s="197"/>
      <c r="P21" s="197"/>
    </row>
    <row r="22" spans="3:16" ht="12.75">
      <c r="C22">
        <f t="shared" si="4"/>
        <v>15</v>
      </c>
      <c r="E22" s="197">
        <f t="shared" si="2"/>
        <v>23593.087781414946</v>
      </c>
      <c r="F22" s="197">
        <f t="shared" si="0"/>
        <v>393.2181296902491</v>
      </c>
      <c r="G22" s="197">
        <f t="shared" si="3"/>
        <v>500</v>
      </c>
      <c r="H22" s="197">
        <f t="shared" si="1"/>
        <v>23486.305911105195</v>
      </c>
      <c r="M22" s="197"/>
      <c r="N22" s="197"/>
      <c r="O22" s="197"/>
      <c r="P22" s="197"/>
    </row>
    <row r="23" spans="3:16" ht="12.75">
      <c r="C23">
        <f t="shared" si="4"/>
        <v>16</v>
      </c>
      <c r="E23" s="197">
        <f t="shared" si="2"/>
        <v>23486.305911105195</v>
      </c>
      <c r="F23" s="197">
        <f t="shared" si="0"/>
        <v>391.43843185175325</v>
      </c>
      <c r="G23" s="197">
        <f t="shared" si="3"/>
        <v>500</v>
      </c>
      <c r="H23" s="197">
        <f t="shared" si="1"/>
        <v>23377.74434295695</v>
      </c>
      <c r="M23" s="197"/>
      <c r="N23" s="197"/>
      <c r="O23" s="197"/>
      <c r="P23" s="197"/>
    </row>
    <row r="24" spans="3:16" ht="12.75">
      <c r="C24">
        <f t="shared" si="4"/>
        <v>17</v>
      </c>
      <c r="E24" s="197">
        <f t="shared" si="2"/>
        <v>23377.74434295695</v>
      </c>
      <c r="F24" s="197">
        <f t="shared" si="0"/>
        <v>389.62907238261585</v>
      </c>
      <c r="G24" s="197">
        <f t="shared" si="3"/>
        <v>500</v>
      </c>
      <c r="H24" s="197">
        <f t="shared" si="1"/>
        <v>23267.373415339567</v>
      </c>
      <c r="M24" s="197"/>
      <c r="N24" s="197"/>
      <c r="O24" s="197"/>
      <c r="P24" s="197"/>
    </row>
    <row r="25" spans="3:16" ht="12.75">
      <c r="C25">
        <f t="shared" si="4"/>
        <v>18</v>
      </c>
      <c r="E25" s="197">
        <f t="shared" si="2"/>
        <v>23267.373415339567</v>
      </c>
      <c r="F25" s="197">
        <f t="shared" si="0"/>
        <v>387.78955692232614</v>
      </c>
      <c r="G25" s="197">
        <f t="shared" si="3"/>
        <v>500</v>
      </c>
      <c r="H25" s="197">
        <f t="shared" si="1"/>
        <v>23155.162972261893</v>
      </c>
      <c r="M25" s="197"/>
      <c r="N25" s="197"/>
      <c r="O25" s="197"/>
      <c r="P25" s="197"/>
    </row>
    <row r="26" spans="3:16" ht="12.75">
      <c r="C26">
        <f t="shared" si="4"/>
        <v>19</v>
      </c>
      <c r="E26" s="197">
        <f t="shared" si="2"/>
        <v>23155.162972261893</v>
      </c>
      <c r="F26" s="197">
        <f t="shared" si="0"/>
        <v>385.91938287103153</v>
      </c>
      <c r="G26" s="197">
        <f t="shared" si="3"/>
        <v>500</v>
      </c>
      <c r="H26" s="197">
        <f t="shared" si="1"/>
        <v>23041.082355132923</v>
      </c>
      <c r="M26" s="197"/>
      <c r="N26" s="197"/>
      <c r="O26" s="197"/>
      <c r="P26" s="197"/>
    </row>
    <row r="27" spans="3:16" ht="12.75">
      <c r="C27">
        <f t="shared" si="4"/>
        <v>20</v>
      </c>
      <c r="E27" s="197">
        <f t="shared" si="2"/>
        <v>23041.082355132923</v>
      </c>
      <c r="F27" s="197">
        <f t="shared" si="0"/>
        <v>384.0180392522154</v>
      </c>
      <c r="G27" s="197">
        <f t="shared" si="3"/>
        <v>500</v>
      </c>
      <c r="H27" s="197">
        <f t="shared" si="1"/>
        <v>22925.10039438514</v>
      </c>
      <c r="M27" s="197"/>
      <c r="N27" s="197"/>
      <c r="O27" s="197"/>
      <c r="P27" s="197"/>
    </row>
    <row r="28" spans="3:16" ht="12.75">
      <c r="C28">
        <f t="shared" si="4"/>
        <v>21</v>
      </c>
      <c r="E28" s="197">
        <f t="shared" si="2"/>
        <v>22925.10039438514</v>
      </c>
      <c r="F28" s="197">
        <f t="shared" si="0"/>
        <v>382.08500657308565</v>
      </c>
      <c r="G28" s="197">
        <f t="shared" si="3"/>
        <v>500</v>
      </c>
      <c r="H28" s="197">
        <f t="shared" si="1"/>
        <v>22807.185400958224</v>
      </c>
      <c r="M28" s="197"/>
      <c r="N28" s="197"/>
      <c r="O28" s="197"/>
      <c r="P28" s="197"/>
    </row>
    <row r="29" spans="3:16" ht="12.75">
      <c r="C29">
        <f t="shared" si="4"/>
        <v>22</v>
      </c>
      <c r="E29" s="197">
        <f t="shared" si="2"/>
        <v>22807.185400958224</v>
      </c>
      <c r="F29" s="197">
        <f t="shared" si="0"/>
        <v>380.11975668263705</v>
      </c>
      <c r="G29" s="197">
        <f t="shared" si="3"/>
        <v>500</v>
      </c>
      <c r="H29" s="197">
        <f t="shared" si="1"/>
        <v>22687.30515764086</v>
      </c>
      <c r="M29" s="197"/>
      <c r="N29" s="197"/>
      <c r="O29" s="197"/>
      <c r="P29" s="197"/>
    </row>
    <row r="30" spans="3:16" ht="12.75">
      <c r="C30">
        <f t="shared" si="4"/>
        <v>23</v>
      </c>
      <c r="E30" s="197">
        <f t="shared" si="2"/>
        <v>22687.30515764086</v>
      </c>
      <c r="F30" s="197">
        <f t="shared" si="0"/>
        <v>378.1217526273477</v>
      </c>
      <c r="G30" s="197">
        <f t="shared" si="3"/>
        <v>500</v>
      </c>
      <c r="H30" s="197">
        <f t="shared" si="1"/>
        <v>22565.42691026821</v>
      </c>
      <c r="M30" s="197"/>
      <c r="N30" s="197"/>
      <c r="O30" s="197"/>
      <c r="P30" s="197"/>
    </row>
    <row r="31" spans="3:16" ht="12.75">
      <c r="C31">
        <f t="shared" si="4"/>
        <v>24</v>
      </c>
      <c r="E31" s="197">
        <f t="shared" si="2"/>
        <v>22565.42691026821</v>
      </c>
      <c r="F31" s="197">
        <f t="shared" si="0"/>
        <v>376.09044850447015</v>
      </c>
      <c r="G31" s="197">
        <f t="shared" si="3"/>
        <v>500</v>
      </c>
      <c r="H31" s="197">
        <f t="shared" si="1"/>
        <v>22441.51735877268</v>
      </c>
      <c r="M31" s="197"/>
      <c r="N31" s="197"/>
      <c r="O31" s="197"/>
      <c r="P31" s="197"/>
    </row>
    <row r="32" spans="3:16" ht="12.75">
      <c r="C32">
        <f t="shared" si="4"/>
        <v>25</v>
      </c>
      <c r="E32" s="197">
        <f t="shared" si="2"/>
        <v>22441.51735877268</v>
      </c>
      <c r="F32" s="197">
        <f t="shared" si="0"/>
        <v>374.025289312878</v>
      </c>
      <c r="G32" s="197">
        <f>+G31</f>
        <v>500</v>
      </c>
      <c r="H32" s="197">
        <f t="shared" si="1"/>
        <v>22315.542648085557</v>
      </c>
      <c r="M32" s="197"/>
      <c r="N32" s="197"/>
      <c r="O32" s="197"/>
      <c r="P32" s="197"/>
    </row>
    <row r="33" spans="3:16" ht="12.75">
      <c r="C33">
        <f t="shared" si="4"/>
        <v>26</v>
      </c>
      <c r="E33" s="280">
        <f aca="true" t="shared" si="5" ref="E33:E96">+H32</f>
        <v>22315.542648085557</v>
      </c>
      <c r="F33" s="280">
        <f aca="true" t="shared" si="6" ref="F33:F96">+E33*(F$4/12)</f>
        <v>371.92571080142596</v>
      </c>
      <c r="G33" s="280">
        <f aca="true" t="shared" si="7" ref="G33:G96">+G32</f>
        <v>500</v>
      </c>
      <c r="H33" s="280">
        <f aca="true" t="shared" si="8" ref="H33:H96">+E33+F33-G33</f>
        <v>22187.46835888698</v>
      </c>
      <c r="M33" s="280"/>
      <c r="N33" s="280"/>
      <c r="O33" s="280"/>
      <c r="P33" s="280"/>
    </row>
    <row r="34" spans="3:16" ht="12.75">
      <c r="C34">
        <f t="shared" si="4"/>
        <v>27</v>
      </c>
      <c r="E34" s="280">
        <f t="shared" si="5"/>
        <v>22187.46835888698</v>
      </c>
      <c r="F34" s="280">
        <f t="shared" si="6"/>
        <v>369.79113931478304</v>
      </c>
      <c r="G34" s="280">
        <f t="shared" si="7"/>
        <v>500</v>
      </c>
      <c r="H34" s="280">
        <f t="shared" si="8"/>
        <v>22057.259498201765</v>
      </c>
      <c r="M34" s="280"/>
      <c r="N34" s="280"/>
      <c r="O34" s="280"/>
      <c r="P34" s="280"/>
    </row>
    <row r="35" spans="3:16" ht="12.75">
      <c r="C35">
        <f t="shared" si="4"/>
        <v>28</v>
      </c>
      <c r="E35" s="280">
        <f t="shared" si="5"/>
        <v>22057.259498201765</v>
      </c>
      <c r="F35" s="280">
        <f t="shared" si="6"/>
        <v>367.6209916366961</v>
      </c>
      <c r="G35" s="280">
        <f t="shared" si="7"/>
        <v>500</v>
      </c>
      <c r="H35" s="280">
        <f t="shared" si="8"/>
        <v>21924.880489838462</v>
      </c>
      <c r="M35" s="280"/>
      <c r="N35" s="280"/>
      <c r="O35" s="280"/>
      <c r="P35" s="280"/>
    </row>
    <row r="36" spans="3:16" ht="12.75">
      <c r="C36">
        <f t="shared" si="4"/>
        <v>29</v>
      </c>
      <c r="E36" s="280">
        <f t="shared" si="5"/>
        <v>21924.880489838462</v>
      </c>
      <c r="F36" s="280">
        <f t="shared" si="6"/>
        <v>365.41467483064105</v>
      </c>
      <c r="G36" s="280">
        <f t="shared" si="7"/>
        <v>500</v>
      </c>
      <c r="H36" s="280">
        <f t="shared" si="8"/>
        <v>21790.295164669104</v>
      </c>
      <c r="M36" s="280"/>
      <c r="N36" s="280"/>
      <c r="O36" s="280"/>
      <c r="P36" s="280"/>
    </row>
    <row r="37" spans="3:16" ht="12.75">
      <c r="C37">
        <f t="shared" si="4"/>
        <v>30</v>
      </c>
      <c r="E37" s="280">
        <f t="shared" si="5"/>
        <v>21790.295164669104</v>
      </c>
      <c r="F37" s="280">
        <f t="shared" si="6"/>
        <v>363.1715860778184</v>
      </c>
      <c r="G37" s="280">
        <f t="shared" si="7"/>
        <v>500</v>
      </c>
      <c r="H37" s="280">
        <f t="shared" si="8"/>
        <v>21653.46675074692</v>
      </c>
      <c r="M37" s="280"/>
      <c r="N37" s="280"/>
      <c r="O37" s="280"/>
      <c r="P37" s="280"/>
    </row>
    <row r="38" spans="3:16" ht="12.75">
      <c r="C38">
        <f t="shared" si="4"/>
        <v>31</v>
      </c>
      <c r="E38" s="280">
        <f t="shared" si="5"/>
        <v>21653.46675074692</v>
      </c>
      <c r="F38" s="280">
        <f t="shared" si="6"/>
        <v>360.8911125124487</v>
      </c>
      <c r="G38" s="280">
        <f t="shared" si="7"/>
        <v>500</v>
      </c>
      <c r="H38" s="280">
        <f t="shared" si="8"/>
        <v>21514.35786325937</v>
      </c>
      <c r="M38" s="280"/>
      <c r="N38" s="280"/>
      <c r="O38" s="280"/>
      <c r="P38" s="280"/>
    </row>
    <row r="39" spans="3:16" ht="12.75">
      <c r="C39">
        <f t="shared" si="4"/>
        <v>32</v>
      </c>
      <c r="E39" s="280">
        <f t="shared" si="5"/>
        <v>21514.35786325937</v>
      </c>
      <c r="F39" s="280">
        <f t="shared" si="6"/>
        <v>358.57263105432287</v>
      </c>
      <c r="G39" s="280">
        <f t="shared" si="7"/>
        <v>500</v>
      </c>
      <c r="H39" s="280">
        <f t="shared" si="8"/>
        <v>21372.930494313692</v>
      </c>
      <c r="M39" s="280"/>
      <c r="N39" s="280"/>
      <c r="O39" s="280"/>
      <c r="P39" s="280"/>
    </row>
    <row r="40" spans="3:16" ht="12.75">
      <c r="C40">
        <f t="shared" si="4"/>
        <v>33</v>
      </c>
      <c r="E40" s="280">
        <f t="shared" si="5"/>
        <v>21372.930494313692</v>
      </c>
      <c r="F40" s="280">
        <f t="shared" si="6"/>
        <v>356.21550823856154</v>
      </c>
      <c r="G40" s="280">
        <f t="shared" si="7"/>
        <v>500</v>
      </c>
      <c r="H40" s="280">
        <f t="shared" si="8"/>
        <v>21229.146002552254</v>
      </c>
      <c r="M40" s="280"/>
      <c r="N40" s="280"/>
      <c r="O40" s="280"/>
      <c r="P40" s="280"/>
    </row>
    <row r="41" spans="3:16" ht="12.75">
      <c r="C41">
        <f t="shared" si="4"/>
        <v>34</v>
      </c>
      <c r="E41" s="280">
        <f t="shared" si="5"/>
        <v>21229.146002552254</v>
      </c>
      <c r="F41" s="280">
        <f t="shared" si="6"/>
        <v>353.81910004253757</v>
      </c>
      <c r="G41" s="280">
        <f t="shared" si="7"/>
        <v>500</v>
      </c>
      <c r="H41" s="280">
        <f t="shared" si="8"/>
        <v>21082.96510259479</v>
      </c>
      <c r="M41" s="280"/>
      <c r="N41" s="280"/>
      <c r="O41" s="280"/>
      <c r="P41" s="280"/>
    </row>
    <row r="42" spans="3:16" ht="12.75">
      <c r="C42">
        <f t="shared" si="4"/>
        <v>35</v>
      </c>
      <c r="E42" s="280">
        <f t="shared" si="5"/>
        <v>21082.96510259479</v>
      </c>
      <c r="F42" s="280">
        <f t="shared" si="6"/>
        <v>351.3827517099132</v>
      </c>
      <c r="G42" s="280">
        <f t="shared" si="7"/>
        <v>500</v>
      </c>
      <c r="H42" s="280">
        <f t="shared" si="8"/>
        <v>20934.347854304702</v>
      </c>
      <c r="M42" s="280"/>
      <c r="N42" s="280"/>
      <c r="O42" s="280"/>
      <c r="P42" s="280"/>
    </row>
    <row r="43" spans="3:16" ht="12.75">
      <c r="C43">
        <f t="shared" si="4"/>
        <v>36</v>
      </c>
      <c r="E43" s="280">
        <f t="shared" si="5"/>
        <v>20934.347854304702</v>
      </c>
      <c r="F43" s="280">
        <f t="shared" si="6"/>
        <v>348.90579757174504</v>
      </c>
      <c r="G43" s="280">
        <f t="shared" si="7"/>
        <v>500</v>
      </c>
      <c r="H43" s="280">
        <f t="shared" si="8"/>
        <v>20783.253651876446</v>
      </c>
      <c r="M43" s="280"/>
      <c r="N43" s="280"/>
      <c r="O43" s="280"/>
      <c r="P43" s="280"/>
    </row>
    <row r="44" spans="3:16" ht="12.75">
      <c r="C44">
        <f t="shared" si="4"/>
        <v>37</v>
      </c>
      <c r="E44" s="280">
        <f t="shared" si="5"/>
        <v>20783.253651876446</v>
      </c>
      <c r="F44" s="280">
        <f t="shared" si="6"/>
        <v>346.38756086460745</v>
      </c>
      <c r="G44" s="280">
        <f t="shared" si="7"/>
        <v>500</v>
      </c>
      <c r="H44" s="280">
        <f t="shared" si="8"/>
        <v>20629.641212741055</v>
      </c>
      <c r="M44" s="280"/>
      <c r="N44" s="280"/>
      <c r="O44" s="280"/>
      <c r="P44" s="280"/>
    </row>
    <row r="45" spans="3:16" ht="12.75">
      <c r="C45">
        <f t="shared" si="4"/>
        <v>38</v>
      </c>
      <c r="E45" s="280">
        <f t="shared" si="5"/>
        <v>20629.641212741055</v>
      </c>
      <c r="F45" s="280">
        <f t="shared" si="6"/>
        <v>343.8273535456842</v>
      </c>
      <c r="G45" s="280">
        <f t="shared" si="7"/>
        <v>500</v>
      </c>
      <c r="H45" s="280">
        <f t="shared" si="8"/>
        <v>20473.468566286738</v>
      </c>
      <c r="M45" s="280"/>
      <c r="N45" s="280"/>
      <c r="O45" s="280"/>
      <c r="P45" s="280"/>
    </row>
    <row r="46" spans="3:16" ht="12.75">
      <c r="C46">
        <f t="shared" si="4"/>
        <v>39</v>
      </c>
      <c r="E46" s="280">
        <f t="shared" si="5"/>
        <v>20473.468566286738</v>
      </c>
      <c r="F46" s="280">
        <f t="shared" si="6"/>
        <v>341.22447610477894</v>
      </c>
      <c r="G46" s="280">
        <f t="shared" si="7"/>
        <v>500</v>
      </c>
      <c r="H46" s="280">
        <f t="shared" si="8"/>
        <v>20314.69304239152</v>
      </c>
      <c r="M46" s="280"/>
      <c r="N46" s="280"/>
      <c r="O46" s="280"/>
      <c r="P46" s="280"/>
    </row>
    <row r="47" spans="3:16" ht="12.75">
      <c r="C47">
        <f t="shared" si="4"/>
        <v>40</v>
      </c>
      <c r="E47" s="280">
        <f t="shared" si="5"/>
        <v>20314.69304239152</v>
      </c>
      <c r="F47" s="280">
        <f t="shared" si="6"/>
        <v>338.578217373192</v>
      </c>
      <c r="G47" s="280">
        <f t="shared" si="7"/>
        <v>500</v>
      </c>
      <c r="H47" s="280">
        <f t="shared" si="8"/>
        <v>20153.27125976471</v>
      </c>
      <c r="M47" s="280"/>
      <c r="N47" s="280"/>
      <c r="O47" s="280"/>
      <c r="P47" s="280"/>
    </row>
    <row r="48" spans="3:16" ht="12.75">
      <c r="C48">
        <f t="shared" si="4"/>
        <v>41</v>
      </c>
      <c r="E48" s="280">
        <f t="shared" si="5"/>
        <v>20153.27125976471</v>
      </c>
      <c r="F48" s="280">
        <f t="shared" si="6"/>
        <v>335.8878543294119</v>
      </c>
      <c r="G48" s="280">
        <f t="shared" si="7"/>
        <v>500</v>
      </c>
      <c r="H48" s="280">
        <f t="shared" si="8"/>
        <v>19989.159114094124</v>
      </c>
      <c r="M48" s="280"/>
      <c r="N48" s="280"/>
      <c r="O48" s="280"/>
      <c r="P48" s="280"/>
    </row>
    <row r="49" spans="3:16" ht="12.75">
      <c r="C49">
        <f t="shared" si="4"/>
        <v>42</v>
      </c>
      <c r="E49" s="280">
        <f t="shared" si="5"/>
        <v>19989.159114094124</v>
      </c>
      <c r="F49" s="280">
        <f t="shared" si="6"/>
        <v>333.15265190156873</v>
      </c>
      <c r="G49" s="280">
        <f t="shared" si="7"/>
        <v>500</v>
      </c>
      <c r="H49" s="280">
        <f t="shared" si="8"/>
        <v>19822.31176599569</v>
      </c>
      <c r="M49" s="280"/>
      <c r="N49" s="280"/>
      <c r="O49" s="280"/>
      <c r="P49" s="280"/>
    </row>
    <row r="50" spans="3:16" ht="12.75">
      <c r="C50">
        <f t="shared" si="4"/>
        <v>43</v>
      </c>
      <c r="E50" s="280">
        <f t="shared" si="5"/>
        <v>19822.31176599569</v>
      </c>
      <c r="F50" s="280">
        <f t="shared" si="6"/>
        <v>330.37186276659486</v>
      </c>
      <c r="G50" s="280">
        <f t="shared" si="7"/>
        <v>500</v>
      </c>
      <c r="H50" s="280">
        <f t="shared" si="8"/>
        <v>19652.683628762286</v>
      </c>
      <c r="M50" s="280"/>
      <c r="N50" s="280"/>
      <c r="O50" s="280"/>
      <c r="P50" s="280"/>
    </row>
    <row r="51" spans="3:16" ht="12.75">
      <c r="C51">
        <f t="shared" si="4"/>
        <v>44</v>
      </c>
      <c r="E51" s="280">
        <f t="shared" si="5"/>
        <v>19652.683628762286</v>
      </c>
      <c r="F51" s="280">
        <f t="shared" si="6"/>
        <v>327.5447271460381</v>
      </c>
      <c r="G51" s="280">
        <f t="shared" si="7"/>
        <v>500</v>
      </c>
      <c r="H51" s="280">
        <f t="shared" si="8"/>
        <v>19480.228355908326</v>
      </c>
      <c r="M51" s="280"/>
      <c r="N51" s="280"/>
      <c r="O51" s="280"/>
      <c r="P51" s="280"/>
    </row>
    <row r="52" spans="3:16" ht="12.75">
      <c r="C52">
        <f t="shared" si="4"/>
        <v>45</v>
      </c>
      <c r="E52" s="280">
        <f t="shared" si="5"/>
        <v>19480.228355908326</v>
      </c>
      <c r="F52" s="280">
        <f t="shared" si="6"/>
        <v>324.6704725984721</v>
      </c>
      <c r="G52" s="280">
        <f t="shared" si="7"/>
        <v>500</v>
      </c>
      <c r="H52" s="280">
        <f t="shared" si="8"/>
        <v>19304.898828506797</v>
      </c>
      <c r="M52" s="280"/>
      <c r="N52" s="280"/>
      <c r="O52" s="280"/>
      <c r="P52" s="280"/>
    </row>
    <row r="53" spans="3:16" ht="12.75">
      <c r="C53">
        <f t="shared" si="4"/>
        <v>46</v>
      </c>
      <c r="E53" s="280">
        <f t="shared" si="5"/>
        <v>19304.898828506797</v>
      </c>
      <c r="F53" s="280">
        <f t="shared" si="6"/>
        <v>321.7483138084466</v>
      </c>
      <c r="G53" s="280">
        <f t="shared" si="7"/>
        <v>500</v>
      </c>
      <c r="H53" s="280">
        <f t="shared" si="8"/>
        <v>19126.647142315243</v>
      </c>
      <c r="M53" s="280"/>
      <c r="N53" s="280"/>
      <c r="O53" s="280"/>
      <c r="P53" s="280"/>
    </row>
    <row r="54" spans="3:16" ht="12.75">
      <c r="C54">
        <f t="shared" si="4"/>
        <v>47</v>
      </c>
      <c r="E54" s="280">
        <f t="shared" si="5"/>
        <v>19126.647142315243</v>
      </c>
      <c r="F54" s="280">
        <f t="shared" si="6"/>
        <v>318.77745237192073</v>
      </c>
      <c r="G54" s="280">
        <f t="shared" si="7"/>
        <v>500</v>
      </c>
      <c r="H54" s="280">
        <f t="shared" si="8"/>
        <v>18945.424594687163</v>
      </c>
      <c r="M54" s="280"/>
      <c r="N54" s="280"/>
      <c r="O54" s="280"/>
      <c r="P54" s="280"/>
    </row>
    <row r="55" spans="3:16" ht="12.75">
      <c r="C55">
        <f t="shared" si="4"/>
        <v>48</v>
      </c>
      <c r="E55" s="280">
        <f t="shared" si="5"/>
        <v>18945.424594687163</v>
      </c>
      <c r="F55" s="280">
        <f t="shared" si="6"/>
        <v>315.7570765781194</v>
      </c>
      <c r="G55" s="280">
        <f t="shared" si="7"/>
        <v>500</v>
      </c>
      <c r="H55" s="280">
        <f t="shared" si="8"/>
        <v>18761.181671265284</v>
      </c>
      <c r="M55" s="280"/>
      <c r="N55" s="280"/>
      <c r="O55" s="280"/>
      <c r="P55" s="280"/>
    </row>
    <row r="56" spans="3:16" ht="12.75">
      <c r="C56">
        <f t="shared" si="4"/>
        <v>49</v>
      </c>
      <c r="E56" s="280">
        <f t="shared" si="5"/>
        <v>18761.181671265284</v>
      </c>
      <c r="F56" s="280">
        <f t="shared" si="6"/>
        <v>312.6863611877547</v>
      </c>
      <c r="G56" s="280">
        <f t="shared" si="7"/>
        <v>500</v>
      </c>
      <c r="H56" s="280">
        <f t="shared" si="8"/>
        <v>18573.86803245304</v>
      </c>
      <c r="M56" s="280"/>
      <c r="N56" s="280"/>
      <c r="O56" s="280"/>
      <c r="P56" s="280"/>
    </row>
    <row r="57" spans="3:16" ht="12.75">
      <c r="C57">
        <f t="shared" si="4"/>
        <v>50</v>
      </c>
      <c r="E57" s="280">
        <f t="shared" si="5"/>
        <v>18573.86803245304</v>
      </c>
      <c r="F57" s="280">
        <f t="shared" si="6"/>
        <v>309.56446720755065</v>
      </c>
      <c r="G57" s="280">
        <f t="shared" si="7"/>
        <v>500</v>
      </c>
      <c r="H57" s="280">
        <f t="shared" si="8"/>
        <v>18383.43249966059</v>
      </c>
      <c r="M57" s="280"/>
      <c r="N57" s="280"/>
      <c r="O57" s="280"/>
      <c r="P57" s="280"/>
    </row>
    <row r="58" spans="3:16" ht="12.75">
      <c r="C58">
        <f t="shared" si="4"/>
        <v>51</v>
      </c>
      <c r="E58" s="280">
        <f t="shared" si="5"/>
        <v>18383.43249966059</v>
      </c>
      <c r="F58" s="280">
        <f t="shared" si="6"/>
        <v>306.3905416610098</v>
      </c>
      <c r="G58" s="280">
        <f t="shared" si="7"/>
        <v>500</v>
      </c>
      <c r="H58" s="280">
        <f t="shared" si="8"/>
        <v>18189.8230413216</v>
      </c>
      <c r="M58" s="280"/>
      <c r="N58" s="280"/>
      <c r="O58" s="280"/>
      <c r="P58" s="280"/>
    </row>
    <row r="59" spans="3:16" ht="12.75">
      <c r="C59">
        <f t="shared" si="4"/>
        <v>52</v>
      </c>
      <c r="E59" s="280">
        <f t="shared" si="5"/>
        <v>18189.8230413216</v>
      </c>
      <c r="F59" s="280">
        <f t="shared" si="6"/>
        <v>303.16371735536</v>
      </c>
      <c r="G59" s="280">
        <f t="shared" si="7"/>
        <v>500</v>
      </c>
      <c r="H59" s="280">
        <f t="shared" si="8"/>
        <v>17992.98675867696</v>
      </c>
      <c r="M59" s="280"/>
      <c r="N59" s="280"/>
      <c r="O59" s="280"/>
      <c r="P59" s="280"/>
    </row>
    <row r="60" spans="3:16" ht="12.75">
      <c r="C60">
        <f t="shared" si="4"/>
        <v>53</v>
      </c>
      <c r="E60" s="280">
        <f t="shared" si="5"/>
        <v>17992.98675867696</v>
      </c>
      <c r="F60" s="280">
        <f t="shared" si="6"/>
        <v>299.883112644616</v>
      </c>
      <c r="G60" s="280">
        <f t="shared" si="7"/>
        <v>500</v>
      </c>
      <c r="H60" s="280">
        <f t="shared" si="8"/>
        <v>17792.869871321578</v>
      </c>
      <c r="M60" s="280"/>
      <c r="N60" s="280"/>
      <c r="O60" s="280"/>
      <c r="P60" s="280"/>
    </row>
    <row r="61" spans="3:16" ht="12.75">
      <c r="C61">
        <f t="shared" si="4"/>
        <v>54</v>
      </c>
      <c r="E61" s="280">
        <f t="shared" si="5"/>
        <v>17792.869871321578</v>
      </c>
      <c r="F61" s="280">
        <f t="shared" si="6"/>
        <v>296.54783118869295</v>
      </c>
      <c r="G61" s="280">
        <f t="shared" si="7"/>
        <v>500</v>
      </c>
      <c r="H61" s="280">
        <f t="shared" si="8"/>
        <v>17589.417702510273</v>
      </c>
      <c r="M61" s="280"/>
      <c r="N61" s="280"/>
      <c r="O61" s="280"/>
      <c r="P61" s="280"/>
    </row>
    <row r="62" spans="3:16" ht="12.75">
      <c r="C62">
        <f t="shared" si="4"/>
        <v>55</v>
      </c>
      <c r="E62" s="280">
        <f t="shared" si="5"/>
        <v>17589.417702510273</v>
      </c>
      <c r="F62" s="280">
        <f t="shared" si="6"/>
        <v>293.1569617085045</v>
      </c>
      <c r="G62" s="280">
        <f t="shared" si="7"/>
        <v>500</v>
      </c>
      <c r="H62" s="280">
        <f t="shared" si="8"/>
        <v>17382.574664218777</v>
      </c>
      <c r="M62" s="280"/>
      <c r="N62" s="280"/>
      <c r="O62" s="280"/>
      <c r="P62" s="280"/>
    </row>
    <row r="63" spans="3:16" ht="12.75">
      <c r="C63">
        <f t="shared" si="4"/>
        <v>56</v>
      </c>
      <c r="E63" s="280">
        <f t="shared" si="5"/>
        <v>17382.574664218777</v>
      </c>
      <c r="F63" s="280">
        <f t="shared" si="6"/>
        <v>289.7095777369796</v>
      </c>
      <c r="G63" s="280">
        <f t="shared" si="7"/>
        <v>500</v>
      </c>
      <c r="H63" s="280">
        <f t="shared" si="8"/>
        <v>17172.284241955756</v>
      </c>
      <c r="M63" s="280"/>
      <c r="N63" s="280"/>
      <c r="O63" s="280"/>
      <c r="P63" s="280"/>
    </row>
    <row r="64" spans="3:16" ht="12.75">
      <c r="C64">
        <f t="shared" si="4"/>
        <v>57</v>
      </c>
      <c r="E64" s="280">
        <f t="shared" si="5"/>
        <v>17172.284241955756</v>
      </c>
      <c r="F64" s="280">
        <f t="shared" si="6"/>
        <v>286.20473736592925</v>
      </c>
      <c r="G64" s="280">
        <f t="shared" si="7"/>
        <v>500</v>
      </c>
      <c r="H64" s="280">
        <f t="shared" si="8"/>
        <v>16958.488979321686</v>
      </c>
      <c r="M64" s="280"/>
      <c r="N64" s="280"/>
      <c r="O64" s="280"/>
      <c r="P64" s="280"/>
    </row>
    <row r="65" spans="3:16" ht="12.75">
      <c r="C65">
        <f t="shared" si="4"/>
        <v>58</v>
      </c>
      <c r="E65" s="280">
        <f t="shared" si="5"/>
        <v>16958.488979321686</v>
      </c>
      <c r="F65" s="280">
        <f t="shared" si="6"/>
        <v>282.64148298869475</v>
      </c>
      <c r="G65" s="280">
        <f t="shared" si="7"/>
        <v>500</v>
      </c>
      <c r="H65" s="280">
        <f t="shared" si="8"/>
        <v>16741.130462310382</v>
      </c>
      <c r="M65" s="280"/>
      <c r="N65" s="280"/>
      <c r="O65" s="280"/>
      <c r="P65" s="280"/>
    </row>
    <row r="66" spans="3:16" ht="12.75">
      <c r="C66">
        <f t="shared" si="4"/>
        <v>59</v>
      </c>
      <c r="E66" s="280">
        <f t="shared" si="5"/>
        <v>16741.130462310382</v>
      </c>
      <c r="F66" s="280">
        <f t="shared" si="6"/>
        <v>279.01884103850637</v>
      </c>
      <c r="G66" s="280">
        <f t="shared" si="7"/>
        <v>500</v>
      </c>
      <c r="H66" s="280">
        <f t="shared" si="8"/>
        <v>16520.149303348888</v>
      </c>
      <c r="M66" s="280"/>
      <c r="N66" s="280"/>
      <c r="O66" s="280"/>
      <c r="P66" s="280"/>
    </row>
    <row r="67" spans="3:16" ht="12.75">
      <c r="C67">
        <f t="shared" si="4"/>
        <v>60</v>
      </c>
      <c r="E67" s="280">
        <f t="shared" si="5"/>
        <v>16520.149303348888</v>
      </c>
      <c r="F67" s="280">
        <f t="shared" si="6"/>
        <v>275.33582172248146</v>
      </c>
      <c r="G67" s="280">
        <f t="shared" si="7"/>
        <v>500</v>
      </c>
      <c r="H67" s="280">
        <f t="shared" si="8"/>
        <v>16295.48512507137</v>
      </c>
      <c r="M67" s="280"/>
      <c r="N67" s="280"/>
      <c r="O67" s="280"/>
      <c r="P67" s="280"/>
    </row>
    <row r="68" spans="3:16" ht="12.75">
      <c r="C68">
        <f t="shared" si="4"/>
        <v>61</v>
      </c>
      <c r="E68" s="280">
        <f t="shared" si="5"/>
        <v>16295.48512507137</v>
      </c>
      <c r="F68" s="280">
        <f t="shared" si="6"/>
        <v>271.5914187511895</v>
      </c>
      <c r="G68" s="280">
        <f t="shared" si="7"/>
        <v>500</v>
      </c>
      <c r="H68" s="280">
        <f t="shared" si="8"/>
        <v>16067.076543822557</v>
      </c>
      <c r="M68" s="280"/>
      <c r="N68" s="280"/>
      <c r="O68" s="280"/>
      <c r="P68" s="280"/>
    </row>
    <row r="69" spans="3:16" ht="12.75">
      <c r="C69">
        <f t="shared" si="4"/>
        <v>62</v>
      </c>
      <c r="E69" s="280">
        <f t="shared" si="5"/>
        <v>16067.076543822557</v>
      </c>
      <c r="F69" s="280">
        <f t="shared" si="6"/>
        <v>267.7846090637093</v>
      </c>
      <c r="G69" s="280">
        <f t="shared" si="7"/>
        <v>500</v>
      </c>
      <c r="H69" s="280">
        <f t="shared" si="8"/>
        <v>15834.861152886266</v>
      </c>
      <c r="M69" s="280"/>
      <c r="N69" s="280"/>
      <c r="O69" s="280"/>
      <c r="P69" s="280"/>
    </row>
    <row r="70" spans="3:16" ht="12.75">
      <c r="C70">
        <f t="shared" si="4"/>
        <v>63</v>
      </c>
      <c r="E70" s="280">
        <f t="shared" si="5"/>
        <v>15834.861152886266</v>
      </c>
      <c r="F70" s="280">
        <f t="shared" si="6"/>
        <v>263.91435254810443</v>
      </c>
      <c r="G70" s="280">
        <f t="shared" si="7"/>
        <v>500</v>
      </c>
      <c r="H70" s="280">
        <f t="shared" si="8"/>
        <v>15598.77550543437</v>
      </c>
      <c r="K70">
        <f>+K32+1</f>
        <v>1</v>
      </c>
      <c r="M70" s="197">
        <f>+P32</f>
        <v>0</v>
      </c>
      <c r="N70" s="197">
        <f>+M70*(N$4/12)</f>
        <v>0</v>
      </c>
      <c r="O70" s="197">
        <f>+O32</f>
        <v>0</v>
      </c>
      <c r="P70" s="197">
        <f>+M70+N70-O70</f>
        <v>0</v>
      </c>
    </row>
    <row r="71" spans="3:16" ht="12.75">
      <c r="C71">
        <f t="shared" si="4"/>
        <v>64</v>
      </c>
      <c r="E71" s="280">
        <f t="shared" si="5"/>
        <v>15598.77550543437</v>
      </c>
      <c r="F71" s="280">
        <f t="shared" si="6"/>
        <v>259.9795917572395</v>
      </c>
      <c r="G71" s="280">
        <f t="shared" si="7"/>
        <v>500</v>
      </c>
      <c r="H71" s="280">
        <f t="shared" si="8"/>
        <v>15358.75509719161</v>
      </c>
      <c r="K71">
        <f>+K70+1</f>
        <v>2</v>
      </c>
      <c r="M71" s="197">
        <f>+P70</f>
        <v>0</v>
      </c>
      <c r="N71" s="197">
        <f>+M71*(N$4/12)</f>
        <v>0</v>
      </c>
      <c r="O71" s="197">
        <f>+O70</f>
        <v>0</v>
      </c>
      <c r="P71" s="197">
        <f>+M71+N71-O71</f>
        <v>0</v>
      </c>
    </row>
    <row r="72" spans="3:16" ht="12.75">
      <c r="C72">
        <f t="shared" si="4"/>
        <v>65</v>
      </c>
      <c r="E72" s="280">
        <f t="shared" si="5"/>
        <v>15358.75509719161</v>
      </c>
      <c r="F72" s="280">
        <f t="shared" si="6"/>
        <v>255.97925161986015</v>
      </c>
      <c r="G72" s="280">
        <f t="shared" si="7"/>
        <v>500</v>
      </c>
      <c r="H72" s="280">
        <f t="shared" si="8"/>
        <v>15114.73434881147</v>
      </c>
      <c r="K72">
        <f>+K71+1</f>
        <v>3</v>
      </c>
      <c r="M72" s="197">
        <f>+P71</f>
        <v>0</v>
      </c>
      <c r="N72" s="197">
        <f>+M72*(N$4/12)</f>
        <v>0</v>
      </c>
      <c r="O72" s="197">
        <f>+M72+N72</f>
        <v>0</v>
      </c>
      <c r="P72" s="197">
        <f>+M72+N72-O72</f>
        <v>0</v>
      </c>
    </row>
    <row r="73" spans="3:15" ht="12.75">
      <c r="C73">
        <f t="shared" si="4"/>
        <v>66</v>
      </c>
      <c r="E73" s="280">
        <f t="shared" si="5"/>
        <v>15114.73434881147</v>
      </c>
      <c r="F73" s="280">
        <f t="shared" si="6"/>
        <v>251.91223914685781</v>
      </c>
      <c r="G73" s="280">
        <f t="shared" si="7"/>
        <v>500</v>
      </c>
      <c r="H73" s="280">
        <f t="shared" si="8"/>
        <v>14866.646587958327</v>
      </c>
      <c r="O73" s="11">
        <f>SUM(O7:O72)</f>
        <v>0</v>
      </c>
    </row>
    <row r="74" spans="3:8" ht="12.75">
      <c r="C74">
        <f t="shared" si="4"/>
        <v>67</v>
      </c>
      <c r="E74" s="280">
        <f t="shared" si="5"/>
        <v>14866.646587958327</v>
      </c>
      <c r="F74" s="280">
        <f t="shared" si="6"/>
        <v>247.77744313263878</v>
      </c>
      <c r="G74" s="280">
        <f t="shared" si="7"/>
        <v>500</v>
      </c>
      <c r="H74" s="280">
        <f t="shared" si="8"/>
        <v>14614.424031090964</v>
      </c>
    </row>
    <row r="75" spans="3:8" ht="12.75">
      <c r="C75">
        <f aca="true" t="shared" si="9" ref="C75:C115">+C74+1</f>
        <v>68</v>
      </c>
      <c r="E75" s="280">
        <f t="shared" si="5"/>
        <v>14614.424031090964</v>
      </c>
      <c r="F75" s="280">
        <f t="shared" si="6"/>
        <v>243.57373385151607</v>
      </c>
      <c r="G75" s="280">
        <f t="shared" si="7"/>
        <v>500</v>
      </c>
      <c r="H75" s="280">
        <f t="shared" si="8"/>
        <v>14357.99776494248</v>
      </c>
    </row>
    <row r="76" spans="3:8" ht="12.75">
      <c r="C76">
        <f t="shared" si="9"/>
        <v>69</v>
      </c>
      <c r="E76" s="280">
        <f t="shared" si="5"/>
        <v>14357.99776494248</v>
      </c>
      <c r="F76" s="280">
        <f t="shared" si="6"/>
        <v>239.29996274904133</v>
      </c>
      <c r="G76" s="280">
        <f t="shared" si="7"/>
        <v>500</v>
      </c>
      <c r="H76" s="280">
        <f t="shared" si="8"/>
        <v>14097.29772769152</v>
      </c>
    </row>
    <row r="77" spans="3:8" ht="12.75">
      <c r="C77">
        <f t="shared" si="9"/>
        <v>70</v>
      </c>
      <c r="E77" s="280">
        <f t="shared" si="5"/>
        <v>14097.29772769152</v>
      </c>
      <c r="F77" s="280">
        <f t="shared" si="6"/>
        <v>234.95496212819202</v>
      </c>
      <c r="G77" s="280">
        <f t="shared" si="7"/>
        <v>500</v>
      </c>
      <c r="H77" s="280">
        <f t="shared" si="8"/>
        <v>13832.252689819712</v>
      </c>
    </row>
    <row r="78" spans="3:8" ht="12.75">
      <c r="C78">
        <f t="shared" si="9"/>
        <v>71</v>
      </c>
      <c r="E78" s="280">
        <f t="shared" si="5"/>
        <v>13832.252689819712</v>
      </c>
      <c r="F78" s="280">
        <f t="shared" si="6"/>
        <v>230.53754483032853</v>
      </c>
      <c r="G78" s="280">
        <f t="shared" si="7"/>
        <v>500</v>
      </c>
      <c r="H78" s="280">
        <f t="shared" si="8"/>
        <v>13562.790234650041</v>
      </c>
    </row>
    <row r="79" spans="3:8" ht="12.75">
      <c r="C79">
        <f t="shared" si="9"/>
        <v>72</v>
      </c>
      <c r="E79" s="280">
        <f t="shared" si="5"/>
        <v>13562.790234650041</v>
      </c>
      <c r="F79" s="280">
        <f t="shared" si="6"/>
        <v>226.04650391083402</v>
      </c>
      <c r="G79" s="280">
        <f t="shared" si="7"/>
        <v>500</v>
      </c>
      <c r="H79" s="280">
        <f t="shared" si="8"/>
        <v>13288.836738560876</v>
      </c>
    </row>
    <row r="80" spans="3:8" ht="12.75">
      <c r="C80">
        <f t="shared" si="9"/>
        <v>73</v>
      </c>
      <c r="E80" s="280">
        <f t="shared" si="5"/>
        <v>13288.836738560876</v>
      </c>
      <c r="F80" s="280">
        <f t="shared" si="6"/>
        <v>221.48061230934795</v>
      </c>
      <c r="G80" s="280">
        <f t="shared" si="7"/>
        <v>500</v>
      </c>
      <c r="H80" s="280">
        <f t="shared" si="8"/>
        <v>13010.317350870224</v>
      </c>
    </row>
    <row r="81" spans="3:8" ht="12.75">
      <c r="C81">
        <f t="shared" si="9"/>
        <v>74</v>
      </c>
      <c r="E81" s="280">
        <f t="shared" si="5"/>
        <v>13010.317350870224</v>
      </c>
      <c r="F81" s="280">
        <f t="shared" si="6"/>
        <v>216.83862251450373</v>
      </c>
      <c r="G81" s="280">
        <f t="shared" si="7"/>
        <v>500</v>
      </c>
      <c r="H81" s="280">
        <f t="shared" si="8"/>
        <v>12727.155973384728</v>
      </c>
    </row>
    <row r="82" spans="3:8" ht="12.75">
      <c r="C82">
        <f t="shared" si="9"/>
        <v>75</v>
      </c>
      <c r="E82" s="280">
        <f t="shared" si="5"/>
        <v>12727.155973384728</v>
      </c>
      <c r="F82" s="280">
        <f t="shared" si="6"/>
        <v>212.1192662230788</v>
      </c>
      <c r="G82" s="280">
        <f t="shared" si="7"/>
        <v>500</v>
      </c>
      <c r="H82" s="280">
        <f t="shared" si="8"/>
        <v>12439.275239607807</v>
      </c>
    </row>
    <row r="83" spans="3:8" ht="12.75">
      <c r="C83">
        <f t="shared" si="9"/>
        <v>76</v>
      </c>
      <c r="E83" s="280">
        <f t="shared" si="5"/>
        <v>12439.275239607807</v>
      </c>
      <c r="F83" s="280">
        <f t="shared" si="6"/>
        <v>207.32125399346344</v>
      </c>
      <c r="G83" s="280">
        <f t="shared" si="7"/>
        <v>500</v>
      </c>
      <c r="H83" s="280">
        <f t="shared" si="8"/>
        <v>12146.59649360127</v>
      </c>
    </row>
    <row r="84" spans="3:8" ht="12.75">
      <c r="C84">
        <f t="shared" si="9"/>
        <v>77</v>
      </c>
      <c r="E84" s="280">
        <f t="shared" si="5"/>
        <v>12146.59649360127</v>
      </c>
      <c r="F84" s="280">
        <f t="shared" si="6"/>
        <v>202.4432748933545</v>
      </c>
      <c r="G84" s="280">
        <f t="shared" si="7"/>
        <v>500</v>
      </c>
      <c r="H84" s="280">
        <f t="shared" si="8"/>
        <v>11849.039768494624</v>
      </c>
    </row>
    <row r="85" spans="3:8" ht="12.75">
      <c r="C85">
        <f t="shared" si="9"/>
        <v>78</v>
      </c>
      <c r="E85" s="280">
        <f t="shared" si="5"/>
        <v>11849.039768494624</v>
      </c>
      <c r="F85" s="280">
        <f t="shared" si="6"/>
        <v>197.48399614157705</v>
      </c>
      <c r="G85" s="280">
        <f t="shared" si="7"/>
        <v>500</v>
      </c>
      <c r="H85" s="280">
        <f t="shared" si="8"/>
        <v>11546.5237646362</v>
      </c>
    </row>
    <row r="86" spans="3:8" ht="12.75">
      <c r="C86">
        <f t="shared" si="9"/>
        <v>79</v>
      </c>
      <c r="E86" s="280">
        <f t="shared" si="5"/>
        <v>11546.5237646362</v>
      </c>
      <c r="F86" s="280">
        <f t="shared" si="6"/>
        <v>192.44206274393667</v>
      </c>
      <c r="G86" s="280">
        <f t="shared" si="7"/>
        <v>500</v>
      </c>
      <c r="H86" s="280">
        <f t="shared" si="8"/>
        <v>11238.965827380136</v>
      </c>
    </row>
    <row r="87" spans="3:8" ht="12.75">
      <c r="C87">
        <f t="shared" si="9"/>
        <v>80</v>
      </c>
      <c r="E87" s="280">
        <f t="shared" si="5"/>
        <v>11238.965827380136</v>
      </c>
      <c r="F87" s="280">
        <f t="shared" si="6"/>
        <v>187.31609712300227</v>
      </c>
      <c r="G87" s="280">
        <f t="shared" si="7"/>
        <v>500</v>
      </c>
      <c r="H87" s="280">
        <f t="shared" si="8"/>
        <v>10926.281924503139</v>
      </c>
    </row>
    <row r="88" spans="3:8" ht="12.75">
      <c r="C88">
        <f t="shared" si="9"/>
        <v>81</v>
      </c>
      <c r="E88" s="280">
        <f t="shared" si="5"/>
        <v>10926.281924503139</v>
      </c>
      <c r="F88" s="280">
        <f t="shared" si="6"/>
        <v>182.10469874171898</v>
      </c>
      <c r="G88" s="280">
        <f t="shared" si="7"/>
        <v>500</v>
      </c>
      <c r="H88" s="280">
        <f t="shared" si="8"/>
        <v>10608.386623244858</v>
      </c>
    </row>
    <row r="89" spans="3:8" ht="12.75">
      <c r="C89">
        <f t="shared" si="9"/>
        <v>82</v>
      </c>
      <c r="E89" s="280">
        <f t="shared" si="5"/>
        <v>10608.386623244858</v>
      </c>
      <c r="F89" s="280">
        <f t="shared" si="6"/>
        <v>176.80644372074764</v>
      </c>
      <c r="G89" s="280">
        <f t="shared" si="7"/>
        <v>500</v>
      </c>
      <c r="H89" s="280">
        <f t="shared" si="8"/>
        <v>10285.193066965605</v>
      </c>
    </row>
    <row r="90" spans="3:8" ht="12.75">
      <c r="C90">
        <f t="shared" si="9"/>
        <v>83</v>
      </c>
      <c r="E90" s="280">
        <f t="shared" si="5"/>
        <v>10285.193066965605</v>
      </c>
      <c r="F90" s="280">
        <f t="shared" si="6"/>
        <v>171.41988444942675</v>
      </c>
      <c r="G90" s="280">
        <f t="shared" si="7"/>
        <v>500</v>
      </c>
      <c r="H90" s="280">
        <f t="shared" si="8"/>
        <v>9956.612951415033</v>
      </c>
    </row>
    <row r="91" spans="3:8" ht="12.75">
      <c r="C91">
        <f t="shared" si="9"/>
        <v>84</v>
      </c>
      <c r="E91" s="280">
        <f t="shared" si="5"/>
        <v>9956.612951415033</v>
      </c>
      <c r="F91" s="280">
        <f t="shared" si="6"/>
        <v>165.94354919025054</v>
      </c>
      <c r="G91" s="280">
        <f t="shared" si="7"/>
        <v>500</v>
      </c>
      <c r="H91" s="280">
        <f t="shared" si="8"/>
        <v>9622.556500605284</v>
      </c>
    </row>
    <row r="92" spans="3:8" ht="12.75">
      <c r="C92">
        <f t="shared" si="9"/>
        <v>85</v>
      </c>
      <c r="E92" s="280">
        <f t="shared" si="5"/>
        <v>9622.556500605284</v>
      </c>
      <c r="F92" s="280">
        <f t="shared" si="6"/>
        <v>160.37594167675473</v>
      </c>
      <c r="G92" s="280">
        <f t="shared" si="7"/>
        <v>500</v>
      </c>
      <c r="H92" s="280">
        <f t="shared" si="8"/>
        <v>9282.93244228204</v>
      </c>
    </row>
    <row r="93" spans="3:8" ht="12.75">
      <c r="C93">
        <f t="shared" si="9"/>
        <v>86</v>
      </c>
      <c r="E93" s="280">
        <f t="shared" si="5"/>
        <v>9282.93244228204</v>
      </c>
      <c r="F93" s="280">
        <f t="shared" si="6"/>
        <v>154.71554070470066</v>
      </c>
      <c r="G93" s="280">
        <f t="shared" si="7"/>
        <v>500</v>
      </c>
      <c r="H93" s="280">
        <f t="shared" si="8"/>
        <v>8937.64798298674</v>
      </c>
    </row>
    <row r="94" spans="3:8" ht="12.75">
      <c r="C94">
        <f t="shared" si="9"/>
        <v>87</v>
      </c>
      <c r="E94" s="280">
        <f t="shared" si="5"/>
        <v>8937.64798298674</v>
      </c>
      <c r="F94" s="280">
        <f t="shared" si="6"/>
        <v>148.96079971644568</v>
      </c>
      <c r="G94" s="280">
        <f t="shared" si="7"/>
        <v>500</v>
      </c>
      <c r="H94" s="280">
        <f t="shared" si="8"/>
        <v>8586.608782703186</v>
      </c>
    </row>
    <row r="95" spans="3:8" ht="12.75">
      <c r="C95">
        <f t="shared" si="9"/>
        <v>88</v>
      </c>
      <c r="E95" s="280">
        <f t="shared" si="5"/>
        <v>8586.608782703186</v>
      </c>
      <c r="F95" s="280">
        <f t="shared" si="6"/>
        <v>143.11014637838645</v>
      </c>
      <c r="G95" s="280">
        <f t="shared" si="7"/>
        <v>500</v>
      </c>
      <c r="H95" s="280">
        <f t="shared" si="8"/>
        <v>8229.718929081573</v>
      </c>
    </row>
    <row r="96" spans="3:8" ht="12.75">
      <c r="C96">
        <f t="shared" si="9"/>
        <v>89</v>
      </c>
      <c r="E96" s="280">
        <f t="shared" si="5"/>
        <v>8229.718929081573</v>
      </c>
      <c r="F96" s="280">
        <f t="shared" si="6"/>
        <v>137.16198215135955</v>
      </c>
      <c r="G96" s="280">
        <f t="shared" si="7"/>
        <v>500</v>
      </c>
      <c r="H96" s="280">
        <f t="shared" si="8"/>
        <v>7866.880911232933</v>
      </c>
    </row>
    <row r="97" spans="3:8" ht="12.75">
      <c r="C97">
        <f t="shared" si="9"/>
        <v>90</v>
      </c>
      <c r="E97" s="280">
        <f aca="true" t="shared" si="10" ref="E97:E111">+H96</f>
        <v>7866.880911232933</v>
      </c>
      <c r="F97" s="280">
        <f aca="true" t="shared" si="11" ref="F97:F111">+E97*(F$4/12)</f>
        <v>131.11468185388222</v>
      </c>
      <c r="G97" s="280">
        <f aca="true" t="shared" si="12" ref="G97:G111">+G96</f>
        <v>500</v>
      </c>
      <c r="H97" s="280">
        <f aca="true" t="shared" si="13" ref="H97:H111">+E97+F97-G97</f>
        <v>7497.995593086815</v>
      </c>
    </row>
    <row r="98" spans="3:8" ht="12.75">
      <c r="C98">
        <f t="shared" si="9"/>
        <v>91</v>
      </c>
      <c r="E98" s="280">
        <f t="shared" si="10"/>
        <v>7497.995593086815</v>
      </c>
      <c r="F98" s="280">
        <f t="shared" si="11"/>
        <v>124.96659321811357</v>
      </c>
      <c r="G98" s="280">
        <f t="shared" si="12"/>
        <v>500</v>
      </c>
      <c r="H98" s="280">
        <f t="shared" si="13"/>
        <v>7122.962186304928</v>
      </c>
    </row>
    <row r="99" spans="3:8" ht="12.75">
      <c r="C99">
        <f t="shared" si="9"/>
        <v>92</v>
      </c>
      <c r="E99" s="280">
        <f t="shared" si="10"/>
        <v>7122.962186304928</v>
      </c>
      <c r="F99" s="280">
        <f t="shared" si="11"/>
        <v>118.71603643841546</v>
      </c>
      <c r="G99" s="280">
        <f t="shared" si="12"/>
        <v>500</v>
      </c>
      <c r="H99" s="280">
        <f t="shared" si="13"/>
        <v>6741.678222743343</v>
      </c>
    </row>
    <row r="100" spans="3:8" ht="12.75">
      <c r="C100">
        <f t="shared" si="9"/>
        <v>93</v>
      </c>
      <c r="E100" s="280">
        <f t="shared" si="10"/>
        <v>6741.678222743343</v>
      </c>
      <c r="F100" s="280">
        <f t="shared" si="11"/>
        <v>112.36130371238905</v>
      </c>
      <c r="G100" s="280">
        <f t="shared" si="12"/>
        <v>500</v>
      </c>
      <c r="H100" s="280">
        <f t="shared" si="13"/>
        <v>6354.039526455732</v>
      </c>
    </row>
    <row r="101" spans="3:8" ht="12.75">
      <c r="C101">
        <f t="shared" si="9"/>
        <v>94</v>
      </c>
      <c r="E101" s="280">
        <f t="shared" si="10"/>
        <v>6354.039526455732</v>
      </c>
      <c r="F101" s="280">
        <f t="shared" si="11"/>
        <v>105.9006587742622</v>
      </c>
      <c r="G101" s="280">
        <f t="shared" si="12"/>
        <v>500</v>
      </c>
      <c r="H101" s="280">
        <f t="shared" si="13"/>
        <v>5959.940185229994</v>
      </c>
    </row>
    <row r="102" spans="3:8" ht="12.75">
      <c r="C102">
        <f t="shared" si="9"/>
        <v>95</v>
      </c>
      <c r="E102" s="280">
        <f t="shared" si="10"/>
        <v>5959.940185229994</v>
      </c>
      <c r="F102" s="280">
        <f t="shared" si="11"/>
        <v>99.3323364204999</v>
      </c>
      <c r="G102" s="280">
        <f t="shared" si="12"/>
        <v>500</v>
      </c>
      <c r="H102" s="280">
        <f t="shared" si="13"/>
        <v>5559.272521650494</v>
      </c>
    </row>
    <row r="103" spans="3:8" ht="12.75">
      <c r="C103">
        <f t="shared" si="9"/>
        <v>96</v>
      </c>
      <c r="E103" s="280">
        <f t="shared" si="10"/>
        <v>5559.272521650494</v>
      </c>
      <c r="F103" s="280">
        <f t="shared" si="11"/>
        <v>92.65454202750823</v>
      </c>
      <c r="G103" s="280">
        <f t="shared" si="12"/>
        <v>500</v>
      </c>
      <c r="H103" s="280">
        <f t="shared" si="13"/>
        <v>5151.927063678002</v>
      </c>
    </row>
    <row r="104" spans="3:8" ht="12.75">
      <c r="C104">
        <f t="shared" si="9"/>
        <v>97</v>
      </c>
      <c r="E104" s="280">
        <f t="shared" si="10"/>
        <v>5151.927063678002</v>
      </c>
      <c r="F104" s="280">
        <f t="shared" si="11"/>
        <v>85.86545106130004</v>
      </c>
      <c r="G104" s="280">
        <f t="shared" si="12"/>
        <v>500</v>
      </c>
      <c r="H104" s="280">
        <f t="shared" si="13"/>
        <v>4737.792514739302</v>
      </c>
    </row>
    <row r="105" spans="3:8" ht="12.75">
      <c r="C105">
        <f t="shared" si="9"/>
        <v>98</v>
      </c>
      <c r="E105" s="280">
        <f t="shared" si="10"/>
        <v>4737.792514739302</v>
      </c>
      <c r="F105" s="280">
        <f t="shared" si="11"/>
        <v>78.96320857898836</v>
      </c>
      <c r="G105" s="280">
        <f t="shared" si="12"/>
        <v>500</v>
      </c>
      <c r="H105" s="280">
        <f t="shared" si="13"/>
        <v>4316.75572331829</v>
      </c>
    </row>
    <row r="106" spans="3:8" ht="12.75">
      <c r="C106">
        <f t="shared" si="9"/>
        <v>99</v>
      </c>
      <c r="E106" s="280">
        <f t="shared" si="10"/>
        <v>4316.75572331829</v>
      </c>
      <c r="F106" s="280">
        <f t="shared" si="11"/>
        <v>71.9459287219715</v>
      </c>
      <c r="G106" s="280">
        <f t="shared" si="12"/>
        <v>500</v>
      </c>
      <c r="H106" s="280">
        <f t="shared" si="13"/>
        <v>3888.7016520402613</v>
      </c>
    </row>
    <row r="107" spans="3:8" ht="12.75">
      <c r="C107">
        <f t="shared" si="9"/>
        <v>100</v>
      </c>
      <c r="E107" s="280">
        <f t="shared" si="10"/>
        <v>3888.7016520402613</v>
      </c>
      <c r="F107" s="280">
        <f t="shared" si="11"/>
        <v>64.81169420067101</v>
      </c>
      <c r="G107" s="280">
        <f t="shared" si="12"/>
        <v>500</v>
      </c>
      <c r="H107" s="280">
        <f t="shared" si="13"/>
        <v>3453.513346240932</v>
      </c>
    </row>
    <row r="108" spans="3:8" ht="12.75">
      <c r="C108">
        <f t="shared" si="9"/>
        <v>101</v>
      </c>
      <c r="E108" s="280">
        <f t="shared" si="10"/>
        <v>3453.513346240932</v>
      </c>
      <c r="F108" s="280">
        <f t="shared" si="11"/>
        <v>57.558555770682204</v>
      </c>
      <c r="G108" s="280">
        <f t="shared" si="12"/>
        <v>500</v>
      </c>
      <c r="H108" s="280">
        <f t="shared" si="13"/>
        <v>3011.0719020116144</v>
      </c>
    </row>
    <row r="109" spans="3:8" ht="12.75">
      <c r="C109">
        <f t="shared" si="9"/>
        <v>102</v>
      </c>
      <c r="E109" s="280">
        <f t="shared" si="10"/>
        <v>3011.0719020116144</v>
      </c>
      <c r="F109" s="280">
        <f t="shared" si="11"/>
        <v>50.184531700193574</v>
      </c>
      <c r="G109" s="280">
        <f t="shared" si="12"/>
        <v>500</v>
      </c>
      <c r="H109" s="280">
        <f t="shared" si="13"/>
        <v>2561.256433711808</v>
      </c>
    </row>
    <row r="110" spans="3:8" ht="12.75">
      <c r="C110">
        <f t="shared" si="9"/>
        <v>103</v>
      </c>
      <c r="E110" s="280">
        <f t="shared" si="10"/>
        <v>2561.256433711808</v>
      </c>
      <c r="F110" s="280">
        <f t="shared" si="11"/>
        <v>42.68760722853013</v>
      </c>
      <c r="G110" s="280">
        <f t="shared" si="12"/>
        <v>500</v>
      </c>
      <c r="H110" s="280">
        <f t="shared" si="13"/>
        <v>2103.944040940338</v>
      </c>
    </row>
    <row r="111" spans="3:8" ht="12.75">
      <c r="C111">
        <f t="shared" si="9"/>
        <v>104</v>
      </c>
      <c r="E111" s="280">
        <f t="shared" si="10"/>
        <v>2103.944040940338</v>
      </c>
      <c r="F111" s="280">
        <f t="shared" si="11"/>
        <v>35.0657340156723</v>
      </c>
      <c r="G111" s="280">
        <f t="shared" si="12"/>
        <v>500</v>
      </c>
      <c r="H111" s="280">
        <f t="shared" si="13"/>
        <v>1639.00977495601</v>
      </c>
    </row>
    <row r="112" spans="3:8" ht="12.75">
      <c r="C112">
        <f t="shared" si="9"/>
        <v>105</v>
      </c>
      <c r="E112" s="280">
        <f>+H111</f>
        <v>1639.00977495601</v>
      </c>
      <c r="F112" s="280">
        <f>+E112*(F$4/12)</f>
        <v>27.316829582600167</v>
      </c>
      <c r="G112" s="280">
        <f>+G111</f>
        <v>500</v>
      </c>
      <c r="H112" s="280">
        <f>+E112+F112-G112</f>
        <v>1166.3266045386101</v>
      </c>
    </row>
    <row r="113" spans="3:8" ht="12.75">
      <c r="C113">
        <f t="shared" si="9"/>
        <v>106</v>
      </c>
      <c r="E113" s="280">
        <f>+H112</f>
        <v>1166.3266045386101</v>
      </c>
      <c r="F113" s="280">
        <f>+E113*(F$4/12)</f>
        <v>19.438776742310168</v>
      </c>
      <c r="G113" s="280">
        <f>+G112</f>
        <v>500</v>
      </c>
      <c r="H113" s="280">
        <f>+E113+F113-G113</f>
        <v>685.7653812809203</v>
      </c>
    </row>
    <row r="114" spans="3:8" ht="12.75">
      <c r="C114">
        <f t="shared" si="9"/>
        <v>107</v>
      </c>
      <c r="E114" s="280">
        <f>+H113</f>
        <v>685.7653812809203</v>
      </c>
      <c r="F114" s="280">
        <f>+E114*(F$4/12)</f>
        <v>11.429423021348672</v>
      </c>
      <c r="G114" s="280">
        <f>+G113</f>
        <v>500</v>
      </c>
      <c r="H114" s="280">
        <f>+E114+F114-G114</f>
        <v>197.19480430226906</v>
      </c>
    </row>
    <row r="115" spans="3:8" ht="12.75">
      <c r="C115">
        <f t="shared" si="9"/>
        <v>108</v>
      </c>
      <c r="E115" s="280">
        <f>+H114</f>
        <v>197.19480430226906</v>
      </c>
      <c r="F115" s="280">
        <f>+E115*(F$4/12)</f>
        <v>3.2865800717044844</v>
      </c>
      <c r="G115" s="280">
        <f>+E115+F115</f>
        <v>200.48138437397355</v>
      </c>
      <c r="H115" s="280">
        <f>+E115+F115-G115</f>
        <v>0</v>
      </c>
    </row>
    <row r="116" spans="5:8" ht="12.75">
      <c r="E116" s="280"/>
      <c r="F116" s="280"/>
      <c r="G116" s="280"/>
      <c r="H116" s="280"/>
    </row>
    <row r="117" spans="5:8" ht="12.75">
      <c r="E117" s="280"/>
      <c r="F117" s="280"/>
      <c r="G117" s="280"/>
      <c r="H117" s="280"/>
    </row>
    <row r="118" spans="5:8" ht="12.75">
      <c r="E118" s="280"/>
      <c r="F118" s="280"/>
      <c r="G118" s="280"/>
      <c r="H118" s="280"/>
    </row>
    <row r="119" spans="5:8" ht="12.75">
      <c r="E119" s="280"/>
      <c r="F119" s="280"/>
      <c r="G119" s="280"/>
      <c r="H119" s="280"/>
    </row>
    <row r="120" spans="5:8" ht="12.75">
      <c r="E120" s="280"/>
      <c r="F120" s="280"/>
      <c r="G120" s="280"/>
      <c r="H120" s="280"/>
    </row>
    <row r="121" spans="5:8" ht="12.75">
      <c r="E121" s="280"/>
      <c r="F121" s="280"/>
      <c r="G121" s="280"/>
      <c r="H121" s="280"/>
    </row>
    <row r="122" spans="5:8" ht="12.75">
      <c r="E122" s="280"/>
      <c r="F122" s="280"/>
      <c r="G122" s="280"/>
      <c r="H122" s="280"/>
    </row>
    <row r="123" spans="5:8" ht="12.75">
      <c r="E123" s="280"/>
      <c r="F123" s="280"/>
      <c r="G123" s="280"/>
      <c r="H123" s="280"/>
    </row>
    <row r="124" spans="5:8" ht="12.75">
      <c r="E124" s="280"/>
      <c r="F124" s="280"/>
      <c r="G124" s="280"/>
      <c r="H124" s="280"/>
    </row>
    <row r="125" spans="5:8" ht="12.75">
      <c r="E125" s="280"/>
      <c r="F125" s="280"/>
      <c r="G125" s="280"/>
      <c r="H125" s="280"/>
    </row>
    <row r="126" spans="5:8" ht="12.75">
      <c r="E126" s="280"/>
      <c r="F126" s="280"/>
      <c r="G126" s="280"/>
      <c r="H126" s="280"/>
    </row>
    <row r="127" spans="5:8" ht="12.75">
      <c r="E127" s="280"/>
      <c r="F127" s="280"/>
      <c r="G127" s="280"/>
      <c r="H127" s="280"/>
    </row>
    <row r="128" spans="5:8" ht="12.75">
      <c r="E128" s="280"/>
      <c r="F128" s="280"/>
      <c r="G128" s="280"/>
      <c r="H128" s="280"/>
    </row>
    <row r="129" spans="5:8" ht="12.75">
      <c r="E129" s="280"/>
      <c r="F129" s="280"/>
      <c r="G129" s="280"/>
      <c r="H129" s="280"/>
    </row>
    <row r="130" spans="5:8" ht="12.75">
      <c r="E130" s="280"/>
      <c r="F130" s="280"/>
      <c r="G130" s="280"/>
      <c r="H130" s="280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4"/>
  <sheetViews>
    <sheetView zoomScale="130" zoomScaleNormal="130" zoomScalePageLayoutView="0" workbookViewId="0" topLeftCell="A16">
      <selection activeCell="E38" sqref="E38"/>
    </sheetView>
  </sheetViews>
  <sheetFormatPr defaultColWidth="9.140625" defaultRowHeight="12.75"/>
  <cols>
    <col min="1" max="1" width="32.8515625" style="0" bestFit="1" customWidth="1"/>
    <col min="2" max="2" width="14.00390625" style="0" bestFit="1" customWidth="1"/>
    <col min="3" max="3" width="12.7109375" style="0" customWidth="1"/>
    <col min="4" max="4" width="13.28125" style="0" customWidth="1"/>
    <col min="5" max="5" width="11.421875" style="0" customWidth="1"/>
    <col min="6" max="6" width="12.28125" style="0" customWidth="1"/>
    <col min="7" max="7" width="12.00390625" style="0" customWidth="1"/>
  </cols>
  <sheetData>
    <row r="1" ht="13.5" thickBot="1"/>
    <row r="2" spans="1:5" ht="12.75">
      <c r="A2" s="170"/>
      <c r="B2" s="170" t="s">
        <v>229</v>
      </c>
      <c r="C2" s="170" t="s">
        <v>230</v>
      </c>
      <c r="D2" s="115">
        <v>4</v>
      </c>
      <c r="E2" s="115">
        <v>5</v>
      </c>
    </row>
    <row r="3" spans="1:5" ht="13.5" thickBot="1">
      <c r="A3" s="171"/>
      <c r="B3" s="175" t="s">
        <v>43</v>
      </c>
      <c r="C3" s="175" t="s">
        <v>231</v>
      </c>
      <c r="D3" s="112" t="s">
        <v>43</v>
      </c>
      <c r="E3" s="112" t="s">
        <v>43</v>
      </c>
    </row>
    <row r="4" spans="1:5" ht="12.75">
      <c r="A4" s="172" t="s">
        <v>165</v>
      </c>
      <c r="B4" s="172">
        <v>500000</v>
      </c>
      <c r="C4" s="172">
        <v>850000</v>
      </c>
      <c r="D4" s="109">
        <v>1200000</v>
      </c>
      <c r="E4" s="109">
        <v>1200000</v>
      </c>
    </row>
    <row r="5" spans="1:5" ht="12.75">
      <c r="A5" s="173" t="s">
        <v>6</v>
      </c>
      <c r="B5" s="173">
        <v>0.07</v>
      </c>
      <c r="C5" s="173">
        <v>0.07</v>
      </c>
      <c r="D5" s="110">
        <v>0.07</v>
      </c>
      <c r="E5" s="110">
        <v>0.07</v>
      </c>
    </row>
    <row r="6" spans="1:5" ht="12.75">
      <c r="A6" s="174" t="s">
        <v>166</v>
      </c>
      <c r="B6" s="174">
        <v>2</v>
      </c>
      <c r="C6" s="174">
        <v>9</v>
      </c>
      <c r="D6" s="108">
        <v>23</v>
      </c>
      <c r="E6" s="108">
        <v>30</v>
      </c>
    </row>
    <row r="7" spans="1:5" ht="12.75">
      <c r="A7" s="172" t="s">
        <v>167</v>
      </c>
      <c r="B7" s="172">
        <f>+(B4*(1+B5)^B6)</f>
        <v>572450</v>
      </c>
      <c r="C7" s="172">
        <f>+(C4*(1+C5)^C6)</f>
        <v>1562690.3305571317</v>
      </c>
      <c r="D7" s="109">
        <f>+(D4*(1+D5)^D6)</f>
        <v>5688635.835572949</v>
      </c>
      <c r="E7" s="109">
        <f>+(E4*(1+E5)^E6)</f>
        <v>9134706.051194437</v>
      </c>
    </row>
    <row r="8" spans="1:5" ht="12.75">
      <c r="A8" s="171"/>
      <c r="B8" s="171"/>
      <c r="C8" s="171"/>
      <c r="D8" s="108"/>
      <c r="E8" s="108"/>
    </row>
    <row r="9" spans="1:5" ht="13.5" thickBot="1">
      <c r="A9" s="175"/>
      <c r="B9" s="175"/>
      <c r="C9" s="175"/>
      <c r="D9" s="112"/>
      <c r="E9" s="112"/>
    </row>
    <row r="13" ht="13.5" thickBot="1"/>
    <row r="14" spans="1:5" ht="13.5" thickBot="1">
      <c r="A14" s="105"/>
      <c r="B14" s="176" t="s">
        <v>171</v>
      </c>
      <c r="C14" s="176" t="s">
        <v>172</v>
      </c>
      <c r="D14" s="176" t="s">
        <v>179</v>
      </c>
      <c r="E14" s="177" t="s">
        <v>59</v>
      </c>
    </row>
    <row r="15" spans="1:5" ht="12.75">
      <c r="A15" s="106"/>
      <c r="B15" s="171"/>
      <c r="C15" s="171"/>
      <c r="D15" s="171"/>
      <c r="E15" s="108"/>
    </row>
    <row r="16" spans="1:5" ht="12.75">
      <c r="A16" s="106" t="s">
        <v>165</v>
      </c>
      <c r="B16" s="172">
        <v>1450000</v>
      </c>
      <c r="C16" s="172">
        <v>1500000</v>
      </c>
      <c r="D16" s="172">
        <v>450000</v>
      </c>
      <c r="E16" s="109">
        <v>5500000</v>
      </c>
    </row>
    <row r="17" spans="1:5" ht="12.75">
      <c r="A17" s="106" t="s">
        <v>6</v>
      </c>
      <c r="B17" s="173">
        <v>0.07</v>
      </c>
      <c r="C17" s="173">
        <v>0.07</v>
      </c>
      <c r="D17" s="173">
        <v>0.07</v>
      </c>
      <c r="E17" s="110">
        <v>0.07</v>
      </c>
    </row>
    <row r="18" spans="1:5" ht="12.75">
      <c r="A18" s="106" t="s">
        <v>166</v>
      </c>
      <c r="B18" s="174">
        <v>15</v>
      </c>
      <c r="C18" s="174">
        <v>18</v>
      </c>
      <c r="D18" s="174">
        <v>22</v>
      </c>
      <c r="E18" s="108">
        <v>22</v>
      </c>
    </row>
    <row r="19" spans="1:5" ht="12.75">
      <c r="A19" s="106" t="s">
        <v>167</v>
      </c>
      <c r="B19" s="172">
        <f>+(B16*(1+B17)^B18)</f>
        <v>4000595.734037235</v>
      </c>
      <c r="C19" s="172">
        <f>+(C16*(1+C17)^C18)</f>
        <v>5069898.413598803</v>
      </c>
      <c r="D19" s="172">
        <f>+(D16*(1+D17)^D18)</f>
        <v>1993680.7834951922</v>
      </c>
      <c r="E19" s="109">
        <f>+(E16*(1+E17)^E18)</f>
        <v>24367209.57605235</v>
      </c>
    </row>
    <row r="20" spans="1:5" ht="12.75">
      <c r="A20" s="106"/>
      <c r="B20" s="171"/>
      <c r="C20" s="171"/>
      <c r="D20" s="171"/>
      <c r="E20" s="108"/>
    </row>
    <row r="21" spans="1:5" ht="13.5" thickBot="1">
      <c r="A21" s="111"/>
      <c r="B21" s="175"/>
      <c r="C21" s="175"/>
      <c r="D21" s="175"/>
      <c r="E21" s="112"/>
    </row>
    <row r="25" ht="13.5" thickBot="1"/>
    <row r="26" spans="1:5" ht="13.5" thickBot="1">
      <c r="A26" s="105"/>
      <c r="B26" s="176" t="s">
        <v>169</v>
      </c>
      <c r="C26" s="176" t="s">
        <v>170</v>
      </c>
      <c r="D26" s="176" t="s">
        <v>173</v>
      </c>
      <c r="E26" s="176" t="s">
        <v>169</v>
      </c>
    </row>
    <row r="27" spans="1:5" ht="12.75">
      <c r="A27" s="106"/>
      <c r="B27" s="171"/>
      <c r="C27" s="171" t="s">
        <v>181</v>
      </c>
      <c r="D27" s="171"/>
      <c r="E27" s="171" t="s">
        <v>180</v>
      </c>
    </row>
    <row r="28" spans="1:6" ht="12.75">
      <c r="A28" s="106" t="s">
        <v>165</v>
      </c>
      <c r="B28" s="172">
        <v>8000000</v>
      </c>
      <c r="C28" s="172">
        <v>13500000</v>
      </c>
      <c r="D28" s="172">
        <v>9000000</v>
      </c>
      <c r="E28" s="172">
        <f>+B31</f>
        <v>12005842.814792</v>
      </c>
      <c r="F28" s="178"/>
    </row>
    <row r="29" spans="1:6" ht="12.75">
      <c r="A29" s="106" t="s">
        <v>6</v>
      </c>
      <c r="B29" s="173">
        <v>0.07</v>
      </c>
      <c r="C29" s="173">
        <v>0.07</v>
      </c>
      <c r="D29" s="173">
        <v>0.07</v>
      </c>
      <c r="E29" s="173">
        <v>0.07</v>
      </c>
      <c r="F29" s="107"/>
    </row>
    <row r="30" spans="1:6" ht="12.75">
      <c r="A30" s="106" t="s">
        <v>166</v>
      </c>
      <c r="B30" s="174">
        <v>6</v>
      </c>
      <c r="C30" s="174">
        <v>19</v>
      </c>
      <c r="D30" s="174">
        <v>30</v>
      </c>
      <c r="E30" s="174">
        <v>13</v>
      </c>
      <c r="F30" s="93"/>
    </row>
    <row r="31" spans="1:6" ht="12.75">
      <c r="A31" s="106" t="s">
        <v>167</v>
      </c>
      <c r="B31" s="172">
        <f>+(B28*(1+B29)^B30)</f>
        <v>12005842.814792</v>
      </c>
      <c r="C31" s="172">
        <f>+(C28*(1+C29)^C30)</f>
        <v>48823121.72295647</v>
      </c>
      <c r="D31" s="172">
        <f>+(D28*(1+D29)^D30)</f>
        <v>68510295.38395828</v>
      </c>
      <c r="E31" s="172">
        <f>+(E28*(1+E29)^E30)</f>
        <v>28932220.280270502</v>
      </c>
      <c r="F31" s="179"/>
    </row>
    <row r="32" spans="1:6" ht="12.75">
      <c r="A32" s="106"/>
      <c r="B32" s="171"/>
      <c r="C32" s="171"/>
      <c r="D32" s="171"/>
      <c r="E32" s="171"/>
      <c r="F32" s="180"/>
    </row>
    <row r="33" spans="1:6" ht="13.5" thickBot="1">
      <c r="A33" s="111"/>
      <c r="B33" s="175"/>
      <c r="C33" s="175"/>
      <c r="D33" s="175"/>
      <c r="E33" s="175"/>
      <c r="F33" s="93"/>
    </row>
    <row r="34" ht="12.75">
      <c r="F34" s="107"/>
    </row>
    <row r="35" ht="12.75">
      <c r="F35" s="107"/>
    </row>
    <row r="36" ht="13.5" thickBot="1"/>
    <row r="37" spans="1:7" ht="13.5" thickBot="1">
      <c r="A37" s="105"/>
      <c r="B37" s="181" t="s">
        <v>73</v>
      </c>
      <c r="C37" s="181" t="s">
        <v>245</v>
      </c>
      <c r="D37" s="181" t="s">
        <v>246</v>
      </c>
      <c r="E37" s="181" t="s">
        <v>249</v>
      </c>
      <c r="F37" s="177" t="s">
        <v>250</v>
      </c>
      <c r="G37" s="177" t="s">
        <v>254</v>
      </c>
    </row>
    <row r="38" spans="1:7" ht="12.75">
      <c r="A38" s="106"/>
      <c r="B38" s="171"/>
      <c r="C38" s="171"/>
      <c r="D38" s="171"/>
      <c r="E38" s="171"/>
      <c r="F38" s="108"/>
      <c r="G38" s="108"/>
    </row>
    <row r="39" spans="1:7" ht="12.75">
      <c r="A39" s="106" t="s">
        <v>165</v>
      </c>
      <c r="B39" s="172">
        <v>300000</v>
      </c>
      <c r="C39" s="172">
        <v>350000</v>
      </c>
      <c r="D39" s="172">
        <v>1000000</v>
      </c>
      <c r="E39" s="172">
        <v>800000</v>
      </c>
      <c r="F39" s="109">
        <v>1200000</v>
      </c>
      <c r="G39" s="109">
        <v>450000</v>
      </c>
    </row>
    <row r="40" spans="1:7" ht="12.75">
      <c r="A40" s="106" t="s">
        <v>6</v>
      </c>
      <c r="B40" s="173">
        <v>0.07</v>
      </c>
      <c r="C40" s="173">
        <v>0.07</v>
      </c>
      <c r="D40" s="173">
        <v>0.07</v>
      </c>
      <c r="E40" s="173">
        <v>0.07</v>
      </c>
      <c r="F40" s="110">
        <v>0.07</v>
      </c>
      <c r="G40" s="110">
        <v>0.07</v>
      </c>
    </row>
    <row r="41" spans="1:7" ht="12.75">
      <c r="A41" s="106" t="s">
        <v>166</v>
      </c>
      <c r="B41" s="174">
        <v>10</v>
      </c>
      <c r="C41" s="174">
        <v>14</v>
      </c>
      <c r="D41" s="174">
        <v>10</v>
      </c>
      <c r="E41" s="174">
        <v>17</v>
      </c>
      <c r="F41" s="108">
        <v>18</v>
      </c>
      <c r="G41" s="108">
        <v>25</v>
      </c>
    </row>
    <row r="42" spans="1:7" ht="12.75">
      <c r="A42" s="106" t="s">
        <v>167</v>
      </c>
      <c r="B42" s="172">
        <f aca="true" t="shared" si="0" ref="B42:G42">+(B39*(1+B40)^B41)</f>
        <v>590145.4071868696</v>
      </c>
      <c r="C42" s="172">
        <f t="shared" si="0"/>
        <v>902486.9525704364</v>
      </c>
      <c r="D42" s="172">
        <f t="shared" si="0"/>
        <v>1967151.3572895655</v>
      </c>
      <c r="E42" s="172">
        <f t="shared" si="0"/>
        <v>2527052.1687719887</v>
      </c>
      <c r="F42" s="109">
        <f t="shared" si="0"/>
        <v>4055918.7308790423</v>
      </c>
      <c r="G42" s="109">
        <f t="shared" si="0"/>
        <v>2442344.688055301</v>
      </c>
    </row>
    <row r="43" spans="1:7" ht="12.75">
      <c r="A43" s="106"/>
      <c r="B43" s="171"/>
      <c r="C43" s="171"/>
      <c r="D43" s="171"/>
      <c r="E43" s="171"/>
      <c r="F43" s="108"/>
      <c r="G43" s="108"/>
    </row>
    <row r="44" spans="1:7" ht="13.5" thickBot="1">
      <c r="A44" s="111"/>
      <c r="B44" s="175"/>
      <c r="C44" s="175"/>
      <c r="D44" s="175"/>
      <c r="E44" s="175"/>
      <c r="F44" s="112"/>
      <c r="G44" s="112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Equation.3" shapeId="1200599" r:id="rId1"/>
    <oleObject progId="Equation.3" shapeId="120060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7">
      <selection activeCell="E21" sqref="E21"/>
    </sheetView>
  </sheetViews>
  <sheetFormatPr defaultColWidth="9.140625" defaultRowHeight="12.75"/>
  <cols>
    <col min="1" max="1" width="40.28125" style="141" customWidth="1"/>
    <col min="2" max="2" width="14.00390625" style="0" bestFit="1" customWidth="1"/>
    <col min="3" max="3" width="6.140625" style="0" customWidth="1"/>
    <col min="4" max="4" width="12.8515625" style="0" customWidth="1"/>
    <col min="5" max="5" width="75.140625" style="0" customWidth="1"/>
  </cols>
  <sheetData>
    <row r="1" spans="1:8" ht="24.75" customHeight="1">
      <c r="A1" s="285" t="s">
        <v>182</v>
      </c>
      <c r="B1" s="285"/>
      <c r="C1" s="285"/>
      <c r="D1" s="285"/>
      <c r="E1" s="285"/>
      <c r="F1" s="4"/>
      <c r="G1" s="4"/>
      <c r="H1" s="4"/>
    </row>
    <row r="2" spans="2:4" ht="24.75" customHeight="1">
      <c r="B2" s="153" t="s">
        <v>183</v>
      </c>
      <c r="C2" s="146"/>
      <c r="D2" s="141" t="s">
        <v>184</v>
      </c>
    </row>
    <row r="3" spans="1:4" ht="24.75" customHeight="1">
      <c r="A3" s="89" t="s">
        <v>19</v>
      </c>
      <c r="B3" s="140">
        <v>1000000</v>
      </c>
      <c r="C3" s="147"/>
      <c r="D3" s="140"/>
    </row>
    <row r="4" spans="1:4" ht="24.75" customHeight="1">
      <c r="A4" s="141" t="s">
        <v>20</v>
      </c>
      <c r="B4" s="154"/>
      <c r="C4" s="148"/>
      <c r="D4" s="154"/>
    </row>
    <row r="5" spans="1:4" ht="24.75" customHeight="1">
      <c r="A5" s="141" t="s">
        <v>21</v>
      </c>
      <c r="B5" s="155">
        <v>100000</v>
      </c>
      <c r="C5" s="149"/>
      <c r="D5" s="155"/>
    </row>
    <row r="6" spans="1:4" ht="24.75" customHeight="1">
      <c r="A6" s="141" t="s">
        <v>22</v>
      </c>
      <c r="B6" s="155">
        <v>60000</v>
      </c>
      <c r="C6" s="149"/>
      <c r="D6" s="155"/>
    </row>
    <row r="7" spans="1:4" ht="24.75" customHeight="1">
      <c r="A7" s="141" t="s">
        <v>109</v>
      </c>
      <c r="B7" s="155">
        <v>30000</v>
      </c>
      <c r="C7" s="149"/>
      <c r="D7" s="155"/>
    </row>
    <row r="8" spans="1:4" ht="24.75" customHeight="1">
      <c r="A8" s="141" t="s">
        <v>23</v>
      </c>
      <c r="B8" s="140">
        <f>+B3-SUM(B5:B7)</f>
        <v>810000</v>
      </c>
      <c r="C8" s="147"/>
      <c r="D8" s="140">
        <v>450000</v>
      </c>
    </row>
    <row r="9" spans="2:4" ht="24.75" customHeight="1">
      <c r="B9" s="141"/>
      <c r="C9" s="150"/>
      <c r="D9" s="141"/>
    </row>
    <row r="10" spans="1:4" ht="24.75" customHeight="1">
      <c r="A10" s="89" t="s">
        <v>24</v>
      </c>
      <c r="B10" s="141"/>
      <c r="C10" s="150"/>
      <c r="D10" s="141"/>
    </row>
    <row r="11" spans="1:4" ht="24.75" customHeight="1">
      <c r="A11" s="141" t="s">
        <v>25</v>
      </c>
      <c r="B11" s="140">
        <f>+B8</f>
        <v>810000</v>
      </c>
      <c r="C11" s="147"/>
      <c r="D11" s="140">
        <f>+D8</f>
        <v>450000</v>
      </c>
    </row>
    <row r="12" spans="1:5" ht="24.75" customHeight="1">
      <c r="A12" s="141" t="s">
        <v>28</v>
      </c>
      <c r="B12" s="140">
        <v>23</v>
      </c>
      <c r="C12" s="147"/>
      <c r="D12" s="140">
        <v>23</v>
      </c>
      <c r="E12" t="s">
        <v>305</v>
      </c>
    </row>
    <row r="13" spans="1:5" ht="24.75" customHeight="1">
      <c r="A13" s="141" t="s">
        <v>26</v>
      </c>
      <c r="B13" s="156">
        <v>0.08</v>
      </c>
      <c r="C13" s="151"/>
      <c r="D13" s="156">
        <f>+B13</f>
        <v>0.08</v>
      </c>
      <c r="E13" t="s">
        <v>29</v>
      </c>
    </row>
    <row r="14" spans="1:5" ht="24.75" customHeight="1">
      <c r="A14" s="141" t="s">
        <v>27</v>
      </c>
      <c r="B14" s="140">
        <f>ROUND(B11*(((1+B13)^B12)-1)/((B13*(1+B13)^B12)),-5)</f>
        <v>8400000</v>
      </c>
      <c r="C14" s="147"/>
      <c r="D14" s="140">
        <f>ROUND(D11*(((1+D13)^D12)-1)/((D13*(1+D13)^D12)),-5)</f>
        <v>4700000</v>
      </c>
      <c r="E14" t="s">
        <v>304</v>
      </c>
    </row>
    <row r="15" spans="2:4" ht="24.75" customHeight="1">
      <c r="B15" s="156"/>
      <c r="C15" s="151"/>
      <c r="D15" s="141"/>
    </row>
    <row r="16" spans="2:5" ht="15.75">
      <c r="B16" s="5"/>
      <c r="C16" s="152"/>
      <c r="D16" s="141"/>
      <c r="E16" s="141" t="s">
        <v>60</v>
      </c>
    </row>
    <row r="17" spans="2:4" ht="15.75">
      <c r="B17" s="7"/>
      <c r="C17" s="147"/>
      <c r="D17" s="141"/>
    </row>
    <row r="18" spans="2:4" ht="15.75">
      <c r="B18" s="5"/>
      <c r="C18" s="152"/>
      <c r="D18" s="141"/>
    </row>
    <row r="19" spans="1:4" ht="15.75">
      <c r="A19" s="89"/>
      <c r="C19" s="150"/>
      <c r="D19" s="141"/>
    </row>
    <row r="20" spans="2:3" ht="15.75">
      <c r="B20" s="7"/>
      <c r="C20" s="147"/>
    </row>
    <row r="22" spans="2:3" ht="15.75">
      <c r="B22" s="1"/>
      <c r="C22" s="1"/>
    </row>
    <row r="23" spans="2:3" ht="15.75">
      <c r="B23" s="7"/>
      <c r="C23" s="10"/>
    </row>
    <row r="24" spans="2:3" ht="15.75">
      <c r="B24" s="5"/>
      <c r="C24" s="5"/>
    </row>
    <row r="26" spans="1:3" ht="15.75">
      <c r="A26" s="89"/>
      <c r="B26" s="10"/>
      <c r="C26" s="10"/>
    </row>
    <row r="27" spans="2:3" ht="15.75">
      <c r="B27" s="2"/>
      <c r="C27" s="2"/>
    </row>
    <row r="28" spans="2:3" ht="15.75">
      <c r="B28" s="9"/>
      <c r="C28" s="9"/>
    </row>
    <row r="29" spans="2:3" ht="15.75">
      <c r="B29" s="9"/>
      <c r="C29" s="9"/>
    </row>
    <row r="30" spans="2:3" ht="15.75">
      <c r="B30" s="9"/>
      <c r="C30" s="9"/>
    </row>
    <row r="31" spans="2:3" ht="15.75">
      <c r="B31" s="10"/>
      <c r="C31" s="10"/>
    </row>
    <row r="33" ht="15.75">
      <c r="A33" s="89"/>
    </row>
    <row r="34" spans="2:3" ht="15.75">
      <c r="B34" s="10"/>
      <c r="C34" s="10"/>
    </row>
    <row r="35" spans="2:3" ht="15.75">
      <c r="B35" s="10"/>
      <c r="C35" s="10"/>
    </row>
    <row r="36" spans="2:3" ht="15.75">
      <c r="B36" s="1"/>
      <c r="C36" s="1"/>
    </row>
    <row r="37" spans="2:3" ht="15.75">
      <c r="B37" s="10"/>
      <c r="C37" s="10"/>
    </row>
    <row r="38" spans="2:3" ht="15.75">
      <c r="B38" s="3"/>
      <c r="C38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Equation.3" shapeId="92701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4"/>
  <sheetViews>
    <sheetView tabSelected="1" zoomScale="140" zoomScaleNormal="140" zoomScalePageLayoutView="0" workbookViewId="0" topLeftCell="A40">
      <selection activeCell="F57" sqref="F57"/>
    </sheetView>
  </sheetViews>
  <sheetFormatPr defaultColWidth="8.8515625" defaultRowHeight="12.75"/>
  <cols>
    <col min="1" max="1" width="6.00390625" style="12" customWidth="1"/>
    <col min="2" max="2" width="6.7109375" style="12" customWidth="1"/>
    <col min="3" max="3" width="11.421875" style="12" customWidth="1"/>
    <col min="4" max="4" width="10.7109375" style="12" customWidth="1"/>
    <col min="5" max="5" width="7.140625" style="12" customWidth="1"/>
    <col min="6" max="7" width="14.140625" style="12" customWidth="1"/>
    <col min="8" max="9" width="12.28125" style="12" customWidth="1"/>
    <col min="10" max="10" width="12.57421875" style="12" customWidth="1"/>
    <col min="11" max="12" width="13.57421875" style="12" customWidth="1"/>
    <col min="13" max="13" width="11.57421875" style="12" customWidth="1"/>
    <col min="14" max="14" width="12.8515625" style="12" customWidth="1"/>
    <col min="15" max="15" width="10.57421875" style="12" customWidth="1"/>
    <col min="16" max="16" width="9.00390625" style="12" bestFit="1" customWidth="1"/>
    <col min="17" max="17" width="11.00390625" style="12" customWidth="1"/>
    <col min="18" max="18" width="8.8515625" style="12" customWidth="1"/>
    <col min="19" max="19" width="10.8515625" style="12" customWidth="1"/>
    <col min="20" max="20" width="8.8515625" style="12" customWidth="1"/>
    <col min="21" max="21" width="10.8515625" style="12" customWidth="1"/>
    <col min="22" max="22" width="8.8515625" style="12" customWidth="1"/>
    <col min="23" max="23" width="11.28125" style="12" customWidth="1"/>
    <col min="24" max="24" width="9.57421875" style="12" customWidth="1"/>
    <col min="25" max="25" width="8.8515625" style="12" customWidth="1"/>
    <col min="26" max="26" width="6.00390625" style="12" customWidth="1"/>
    <col min="27" max="27" width="9.28125" style="12" bestFit="1" customWidth="1"/>
    <col min="28" max="16384" width="8.8515625" style="12" customWidth="1"/>
  </cols>
  <sheetData>
    <row r="1" spans="1:16" ht="18.75">
      <c r="A1" s="22" t="s">
        <v>79</v>
      </c>
      <c r="B1" s="20"/>
      <c r="C1" s="20"/>
      <c r="D1" s="20"/>
      <c r="E1" s="20"/>
      <c r="F1" s="20"/>
      <c r="G1" s="20"/>
      <c r="H1" s="20"/>
      <c r="I1" s="20"/>
      <c r="J1" s="20"/>
      <c r="P1" s="12" t="s">
        <v>277</v>
      </c>
    </row>
    <row r="2" ht="12.75"/>
    <row r="3" spans="1:28" ht="12.75">
      <c r="A3" s="33" t="s">
        <v>91</v>
      </c>
      <c r="B3" s="34"/>
      <c r="C3" s="253" t="s">
        <v>92</v>
      </c>
      <c r="D3" s="239"/>
      <c r="E3" s="239"/>
      <c r="F3" s="240"/>
      <c r="G3" s="198" t="s">
        <v>80</v>
      </c>
      <c r="H3" s="198"/>
      <c r="I3" s="199"/>
      <c r="J3" s="286" t="s">
        <v>81</v>
      </c>
      <c r="K3" s="287"/>
      <c r="L3" s="81" t="s">
        <v>44</v>
      </c>
      <c r="M3" s="81"/>
      <c r="N3" s="81"/>
      <c r="O3" s="81"/>
      <c r="P3" s="81"/>
      <c r="Q3" s="81"/>
      <c r="R3" s="81"/>
      <c r="S3" s="81"/>
      <c r="T3" s="81"/>
      <c r="U3" s="81"/>
      <c r="V3" s="26"/>
      <c r="W3" s="26"/>
      <c r="X3" s="47"/>
      <c r="Y3" s="269"/>
      <c r="Z3" s="48"/>
      <c r="AA3" s="54" t="s">
        <v>89</v>
      </c>
      <c r="AB3" s="269"/>
    </row>
    <row r="4" spans="1:28" ht="12.75">
      <c r="A4" s="28" t="s">
        <v>30</v>
      </c>
      <c r="B4" s="29" t="s">
        <v>63</v>
      </c>
      <c r="C4" s="223" t="s">
        <v>71</v>
      </c>
      <c r="D4" s="241"/>
      <c r="E4" s="241" t="s">
        <v>32</v>
      </c>
      <c r="F4" s="242"/>
      <c r="G4" s="200" t="s">
        <v>33</v>
      </c>
      <c r="H4" s="201" t="s">
        <v>32</v>
      </c>
      <c r="I4" s="202" t="s">
        <v>33</v>
      </c>
      <c r="J4" s="223" t="s">
        <v>34</v>
      </c>
      <c r="K4" s="242" t="s">
        <v>35</v>
      </c>
      <c r="L4" s="223" t="s">
        <v>82</v>
      </c>
      <c r="M4" s="257" t="s">
        <v>45</v>
      </c>
      <c r="N4" s="41" t="s">
        <v>83</v>
      </c>
      <c r="O4" s="257" t="s">
        <v>45</v>
      </c>
      <c r="P4" s="42" t="s">
        <v>84</v>
      </c>
      <c r="Q4" s="257" t="s">
        <v>45</v>
      </c>
      <c r="R4" s="41" t="s">
        <v>74</v>
      </c>
      <c r="S4" s="261" t="s">
        <v>45</v>
      </c>
      <c r="T4" s="42" t="s">
        <v>75</v>
      </c>
      <c r="U4" s="265" t="s">
        <v>45</v>
      </c>
      <c r="V4" s="41" t="s">
        <v>86</v>
      </c>
      <c r="W4" s="261" t="s">
        <v>45</v>
      </c>
      <c r="X4" s="49" t="s">
        <v>88</v>
      </c>
      <c r="Y4" s="270" t="s">
        <v>45</v>
      </c>
      <c r="Z4" s="50"/>
      <c r="AA4" s="56" t="s">
        <v>64</v>
      </c>
      <c r="AB4" s="270" t="s">
        <v>45</v>
      </c>
    </row>
    <row r="5" spans="1:28" ht="12.75">
      <c r="A5" s="30"/>
      <c r="B5" s="31"/>
      <c r="C5" s="243"/>
      <c r="D5" s="244"/>
      <c r="E5" s="244"/>
      <c r="F5" s="245" t="s">
        <v>51</v>
      </c>
      <c r="G5" s="203"/>
      <c r="H5" s="204"/>
      <c r="I5" s="205" t="s">
        <v>168</v>
      </c>
      <c r="J5" s="243"/>
      <c r="K5" s="245"/>
      <c r="L5" s="30"/>
      <c r="M5" s="258"/>
      <c r="N5" s="30"/>
      <c r="O5" s="258"/>
      <c r="P5" s="31" t="s">
        <v>52</v>
      </c>
      <c r="Q5" s="258"/>
      <c r="R5" s="30" t="s">
        <v>85</v>
      </c>
      <c r="S5" s="262"/>
      <c r="T5" s="31" t="s">
        <v>85</v>
      </c>
      <c r="U5" s="266"/>
      <c r="V5" s="30" t="s">
        <v>87</v>
      </c>
      <c r="W5" s="262"/>
      <c r="X5" s="51"/>
      <c r="Y5" s="266"/>
      <c r="Z5" s="52"/>
      <c r="AA5" s="57"/>
      <c r="AB5" s="266" t="s">
        <v>90</v>
      </c>
    </row>
    <row r="6" spans="1:28" ht="12.75">
      <c r="A6" s="12">
        <v>1</v>
      </c>
      <c r="B6" s="12">
        <v>31</v>
      </c>
      <c r="C6" s="221">
        <v>900000</v>
      </c>
      <c r="D6" s="246"/>
      <c r="E6" s="247">
        <v>0</v>
      </c>
      <c r="F6" s="248">
        <f>+C6+E6</f>
        <v>900000</v>
      </c>
      <c r="G6" s="206">
        <v>450000</v>
      </c>
      <c r="H6" s="207">
        <v>0</v>
      </c>
      <c r="I6" s="208">
        <f>+G6+H6</f>
        <v>450000</v>
      </c>
      <c r="J6" s="224">
        <f>+F6-I6</f>
        <v>450000</v>
      </c>
      <c r="K6" s="254">
        <f>+J6/12</f>
        <v>37500</v>
      </c>
      <c r="L6" s="219">
        <f>+G51</f>
        <v>22172.359253972747</v>
      </c>
      <c r="M6" s="259">
        <f>+K6-L6</f>
        <v>15327.640746027253</v>
      </c>
      <c r="N6" s="224">
        <f>+M6</f>
        <v>15327.640746027253</v>
      </c>
      <c r="O6" s="259">
        <f>+M6-N6</f>
        <v>0</v>
      </c>
      <c r="P6" s="26"/>
      <c r="Q6" s="259">
        <f>+O6-P6</f>
        <v>0</v>
      </c>
      <c r="R6" s="44"/>
      <c r="S6" s="263">
        <f>+Q6-R6</f>
        <v>0</v>
      </c>
      <c r="T6" s="18"/>
      <c r="U6" s="267">
        <f>+S6-T6</f>
        <v>0</v>
      </c>
      <c r="V6" s="18"/>
      <c r="W6" s="267">
        <f>+U6-V6</f>
        <v>0</v>
      </c>
      <c r="X6" s="25"/>
      <c r="Y6" s="271">
        <f>+W6-X6</f>
        <v>0</v>
      </c>
      <c r="Z6" s="83"/>
      <c r="AA6" s="54"/>
      <c r="AB6" s="272"/>
    </row>
    <row r="7" spans="1:28" ht="12.75">
      <c r="A7" s="12">
        <f>1+A6</f>
        <v>2</v>
      </c>
      <c r="B7" s="12">
        <f>1+B6</f>
        <v>32</v>
      </c>
      <c r="C7" s="221">
        <f>+F6</f>
        <v>900000</v>
      </c>
      <c r="D7" s="246"/>
      <c r="E7" s="249">
        <v>0.12</v>
      </c>
      <c r="F7" s="248">
        <f>+C7*(1+E7)</f>
        <v>1008000.0000000001</v>
      </c>
      <c r="G7" s="209">
        <f>+I6</f>
        <v>450000</v>
      </c>
      <c r="H7" s="210">
        <v>0.07</v>
      </c>
      <c r="I7" s="211">
        <f>+G7*(1+H7)</f>
        <v>481500</v>
      </c>
      <c r="J7" s="221">
        <f aca="true" t="shared" si="0" ref="J7:J30">+F7-I7</f>
        <v>526500.0000000001</v>
      </c>
      <c r="K7" s="255">
        <f aca="true" t="shared" si="1" ref="K7:K34">+J7/12</f>
        <v>43875.00000000001</v>
      </c>
      <c r="L7" s="220">
        <f>+L6</f>
        <v>22172.359253972747</v>
      </c>
      <c r="M7" s="259">
        <f aca="true" t="shared" si="2" ref="M7:M30">+K7-L7</f>
        <v>21702.64074602726</v>
      </c>
      <c r="N7" s="221">
        <f>+M7</f>
        <v>21702.64074602726</v>
      </c>
      <c r="O7" s="259">
        <f aca="true" t="shared" si="3" ref="O7:O30">+M7-N7</f>
        <v>0</v>
      </c>
      <c r="P7" s="18"/>
      <c r="Q7" s="259">
        <f aca="true" t="shared" si="4" ref="Q7:Q30">+O7-P7</f>
        <v>0</v>
      </c>
      <c r="R7" s="44"/>
      <c r="S7" s="263">
        <f aca="true" t="shared" si="5" ref="S7:S30">+Q7-R7</f>
        <v>0</v>
      </c>
      <c r="T7" s="18"/>
      <c r="U7" s="267">
        <f aca="true" t="shared" si="6" ref="U7:U30">+S7-T7</f>
        <v>0</v>
      </c>
      <c r="V7" s="18"/>
      <c r="W7" s="267">
        <f aca="true" t="shared" si="7" ref="W7:W30">+U7-V7</f>
        <v>0</v>
      </c>
      <c r="X7" s="44"/>
      <c r="Y7" s="263">
        <f aca="true" t="shared" si="8" ref="Y7:Y34">+W7-X7</f>
        <v>0</v>
      </c>
      <c r="Z7" s="84"/>
      <c r="AA7" s="55"/>
      <c r="AB7" s="273">
        <f aca="true" t="shared" si="9" ref="AB7:AB34">+Y7-AA7</f>
        <v>0</v>
      </c>
    </row>
    <row r="8" spans="1:28" ht="12.75">
      <c r="A8" s="12">
        <f aca="true" t="shared" si="10" ref="A8:B34">1+A7</f>
        <v>3</v>
      </c>
      <c r="B8" s="12">
        <f t="shared" si="10"/>
        <v>33</v>
      </c>
      <c r="C8" s="221">
        <f aca="true" t="shared" si="11" ref="C8:C30">+F7</f>
        <v>1008000.0000000001</v>
      </c>
      <c r="D8" s="246"/>
      <c r="E8" s="249">
        <f>+E7</f>
        <v>0.12</v>
      </c>
      <c r="F8" s="248">
        <f aca="true" t="shared" si="12" ref="F8:F30">+C8*(1+E8)</f>
        <v>1128960.0000000002</v>
      </c>
      <c r="G8" s="209">
        <f aca="true" t="shared" si="13" ref="G8:G30">+I7</f>
        <v>481500</v>
      </c>
      <c r="H8" s="210">
        <v>0.07</v>
      </c>
      <c r="I8" s="211">
        <f aca="true" t="shared" si="14" ref="I8:I30">+G8*(1+H8)</f>
        <v>515205.00000000006</v>
      </c>
      <c r="J8" s="221">
        <f t="shared" si="0"/>
        <v>613755.0000000002</v>
      </c>
      <c r="K8" s="255">
        <f t="shared" si="1"/>
        <v>51146.25000000002</v>
      </c>
      <c r="L8" s="221"/>
      <c r="M8" s="259">
        <f t="shared" si="2"/>
        <v>51146.25000000002</v>
      </c>
      <c r="N8" s="221">
        <f>+F68</f>
        <v>50612.534614531825</v>
      </c>
      <c r="O8" s="259">
        <f t="shared" si="3"/>
        <v>533.7153854681965</v>
      </c>
      <c r="P8" s="18"/>
      <c r="Q8" s="259">
        <f t="shared" si="4"/>
        <v>533.7153854681965</v>
      </c>
      <c r="R8" s="45"/>
      <c r="S8" s="263">
        <f t="shared" si="5"/>
        <v>533.7153854681965</v>
      </c>
      <c r="T8" s="17"/>
      <c r="U8" s="267">
        <f t="shared" si="6"/>
        <v>533.7153854681965</v>
      </c>
      <c r="V8" s="17">
        <v>0</v>
      </c>
      <c r="W8" s="267">
        <f t="shared" si="7"/>
        <v>533.7153854681965</v>
      </c>
      <c r="X8" s="45"/>
      <c r="Y8" s="263">
        <f t="shared" si="8"/>
        <v>533.7153854681965</v>
      </c>
      <c r="Z8" s="84"/>
      <c r="AA8" s="55"/>
      <c r="AB8" s="273">
        <f t="shared" si="9"/>
        <v>533.7153854681965</v>
      </c>
    </row>
    <row r="9" spans="1:28" ht="12.75">
      <c r="A9" s="12">
        <f t="shared" si="10"/>
        <v>4</v>
      </c>
      <c r="B9" s="12">
        <f t="shared" si="10"/>
        <v>34</v>
      </c>
      <c r="C9" s="221">
        <f t="shared" si="11"/>
        <v>1128960.0000000002</v>
      </c>
      <c r="D9" s="246"/>
      <c r="E9" s="249">
        <f aca="true" t="shared" si="15" ref="E9:E16">+E8</f>
        <v>0.12</v>
      </c>
      <c r="F9" s="248">
        <f t="shared" si="12"/>
        <v>1264435.2000000004</v>
      </c>
      <c r="G9" s="209">
        <f t="shared" si="13"/>
        <v>515205.00000000006</v>
      </c>
      <c r="H9" s="210">
        <v>0.07</v>
      </c>
      <c r="I9" s="211">
        <f t="shared" si="14"/>
        <v>551269.3500000001</v>
      </c>
      <c r="J9" s="221">
        <f t="shared" si="0"/>
        <v>713165.8500000003</v>
      </c>
      <c r="K9" s="255">
        <f t="shared" si="1"/>
        <v>59430.487500000025</v>
      </c>
      <c r="L9" s="221"/>
      <c r="M9" s="259">
        <f t="shared" si="2"/>
        <v>59430.487500000025</v>
      </c>
      <c r="N9" s="221">
        <f>+N8</f>
        <v>50612.534614531825</v>
      </c>
      <c r="O9" s="259">
        <f t="shared" si="3"/>
        <v>8817.9528854682</v>
      </c>
      <c r="P9" s="18"/>
      <c r="Q9" s="259">
        <f t="shared" si="4"/>
        <v>8817.9528854682</v>
      </c>
      <c r="R9" s="45"/>
      <c r="S9" s="263">
        <f t="shared" si="5"/>
        <v>8817.9528854682</v>
      </c>
      <c r="T9" s="17"/>
      <c r="U9" s="267">
        <f t="shared" si="6"/>
        <v>8817.9528854682</v>
      </c>
      <c r="V9" s="17"/>
      <c r="W9" s="267">
        <f t="shared" si="7"/>
        <v>8817.9528854682</v>
      </c>
      <c r="X9" s="45">
        <f>+X8</f>
        <v>0</v>
      </c>
      <c r="Y9" s="263">
        <f t="shared" si="8"/>
        <v>8817.9528854682</v>
      </c>
      <c r="Z9" s="84"/>
      <c r="AA9" s="55"/>
      <c r="AB9" s="273">
        <f t="shared" si="9"/>
        <v>8817.9528854682</v>
      </c>
    </row>
    <row r="10" spans="1:28" ht="12.75">
      <c r="A10" s="12">
        <f t="shared" si="10"/>
        <v>5</v>
      </c>
      <c r="B10" s="12">
        <f t="shared" si="10"/>
        <v>35</v>
      </c>
      <c r="C10" s="221">
        <f t="shared" si="11"/>
        <v>1264435.2000000004</v>
      </c>
      <c r="D10" s="246"/>
      <c r="E10" s="249">
        <f t="shared" si="15"/>
        <v>0.12</v>
      </c>
      <c r="F10" s="248">
        <f t="shared" si="12"/>
        <v>1416167.4240000006</v>
      </c>
      <c r="G10" s="209">
        <f t="shared" si="13"/>
        <v>551269.3500000001</v>
      </c>
      <c r="H10" s="210">
        <v>0.07</v>
      </c>
      <c r="I10" s="211">
        <f t="shared" si="14"/>
        <v>589858.2045000001</v>
      </c>
      <c r="J10" s="221">
        <f t="shared" si="0"/>
        <v>826309.2195000005</v>
      </c>
      <c r="K10" s="255">
        <f t="shared" si="1"/>
        <v>68859.10162500004</v>
      </c>
      <c r="L10" s="221"/>
      <c r="M10" s="259">
        <f t="shared" si="2"/>
        <v>68859.10162500004</v>
      </c>
      <c r="N10" s="221">
        <f>+N9</f>
        <v>50612.534614531825</v>
      </c>
      <c r="O10" s="259">
        <f t="shared" si="3"/>
        <v>18246.567010468214</v>
      </c>
      <c r="P10" s="18"/>
      <c r="Q10" s="259">
        <f t="shared" si="4"/>
        <v>18246.567010468214</v>
      </c>
      <c r="R10" s="45">
        <f>+G103</f>
        <v>17843.215794862</v>
      </c>
      <c r="S10" s="263">
        <f t="shared" si="5"/>
        <v>403.3512156062134</v>
      </c>
      <c r="T10" s="17"/>
      <c r="U10" s="267">
        <f t="shared" si="6"/>
        <v>403.3512156062134</v>
      </c>
      <c r="V10" s="17">
        <f aca="true" t="shared" si="16" ref="V10:V27">+V9</f>
        <v>0</v>
      </c>
      <c r="W10" s="267">
        <f t="shared" si="7"/>
        <v>403.3512156062134</v>
      </c>
      <c r="X10" s="45">
        <f>+X9</f>
        <v>0</v>
      </c>
      <c r="Y10" s="263">
        <f t="shared" si="8"/>
        <v>403.3512156062134</v>
      </c>
      <c r="Z10" s="84"/>
      <c r="AA10" s="55"/>
      <c r="AB10" s="273">
        <f t="shared" si="9"/>
        <v>403.3512156062134</v>
      </c>
    </row>
    <row r="11" spans="1:28" ht="12.75">
      <c r="A11" s="12">
        <f t="shared" si="10"/>
        <v>6</v>
      </c>
      <c r="B11" s="12">
        <f t="shared" si="10"/>
        <v>36</v>
      </c>
      <c r="C11" s="221">
        <f t="shared" si="11"/>
        <v>1416167.4240000006</v>
      </c>
      <c r="D11" s="246"/>
      <c r="E11" s="249">
        <f t="shared" si="15"/>
        <v>0.12</v>
      </c>
      <c r="F11" s="248">
        <f t="shared" si="12"/>
        <v>1586107.5148800008</v>
      </c>
      <c r="G11" s="209">
        <f t="shared" si="13"/>
        <v>589858.2045000001</v>
      </c>
      <c r="H11" s="210">
        <v>0.07</v>
      </c>
      <c r="I11" s="211">
        <f t="shared" si="14"/>
        <v>631148.2788150002</v>
      </c>
      <c r="J11" s="221">
        <f t="shared" si="0"/>
        <v>954959.2360650006</v>
      </c>
      <c r="K11" s="255">
        <f t="shared" si="1"/>
        <v>79579.93633875005</v>
      </c>
      <c r="L11" s="221"/>
      <c r="M11" s="259">
        <f t="shared" si="2"/>
        <v>79579.93633875005</v>
      </c>
      <c r="N11" s="221">
        <f>+N10</f>
        <v>50612.534614531825</v>
      </c>
      <c r="O11" s="259">
        <f t="shared" si="3"/>
        <v>28967.401724218224</v>
      </c>
      <c r="P11" s="18"/>
      <c r="Q11" s="259">
        <f t="shared" si="4"/>
        <v>28967.401724218224</v>
      </c>
      <c r="R11" s="45">
        <f aca="true" t="shared" si="17" ref="R11:R20">+R10</f>
        <v>17843.215794862</v>
      </c>
      <c r="S11" s="263">
        <f t="shared" si="5"/>
        <v>11124.185929356223</v>
      </c>
      <c r="T11" s="17"/>
      <c r="U11" s="267">
        <f t="shared" si="6"/>
        <v>11124.185929356223</v>
      </c>
      <c r="V11" s="17"/>
      <c r="W11" s="267">
        <f t="shared" si="7"/>
        <v>11124.185929356223</v>
      </c>
      <c r="X11" s="45">
        <v>10000</v>
      </c>
      <c r="Y11" s="263">
        <f t="shared" si="8"/>
        <v>1124.185929356223</v>
      </c>
      <c r="Z11" s="84"/>
      <c r="AA11" s="55"/>
      <c r="AB11" s="273">
        <f t="shared" si="9"/>
        <v>1124.185929356223</v>
      </c>
    </row>
    <row r="12" spans="1:28" ht="12.75">
      <c r="A12" s="12">
        <f t="shared" si="10"/>
        <v>7</v>
      </c>
      <c r="B12" s="12">
        <f t="shared" si="10"/>
        <v>37</v>
      </c>
      <c r="C12" s="221">
        <f t="shared" si="11"/>
        <v>1586107.5148800008</v>
      </c>
      <c r="D12" s="246">
        <f>+C12*0.75</f>
        <v>1189580.6361600007</v>
      </c>
      <c r="E12" s="249">
        <f t="shared" si="15"/>
        <v>0.12</v>
      </c>
      <c r="F12" s="248">
        <f>(+C12+D12)*(1+E12)</f>
        <v>3108770.7291648025</v>
      </c>
      <c r="G12" s="209">
        <f>+I11+120000</f>
        <v>751148.2788150002</v>
      </c>
      <c r="H12" s="210">
        <v>0.07</v>
      </c>
      <c r="I12" s="211">
        <f t="shared" si="14"/>
        <v>803728.6583320503</v>
      </c>
      <c r="J12" s="221">
        <f t="shared" si="0"/>
        <v>2305042.070832752</v>
      </c>
      <c r="K12" s="255">
        <f t="shared" si="1"/>
        <v>192086.8392360627</v>
      </c>
      <c r="L12" s="219">
        <f>+K51</f>
        <v>39471.51807162306</v>
      </c>
      <c r="M12" s="259">
        <f t="shared" si="2"/>
        <v>152615.32116443964</v>
      </c>
      <c r="N12" s="36"/>
      <c r="O12" s="259">
        <f t="shared" si="3"/>
        <v>152615.32116443964</v>
      </c>
      <c r="P12" s="282">
        <f>+G76</f>
        <v>99485.90313274493</v>
      </c>
      <c r="Q12" s="259">
        <f t="shared" si="4"/>
        <v>53129.4180316947</v>
      </c>
      <c r="R12" s="45">
        <f t="shared" si="17"/>
        <v>17843.215794862</v>
      </c>
      <c r="S12" s="263">
        <f t="shared" si="5"/>
        <v>35286.2022368327</v>
      </c>
      <c r="T12" s="17">
        <f>+J103</f>
        <v>19401.534838019943</v>
      </c>
      <c r="U12" s="267">
        <f t="shared" si="6"/>
        <v>15884.667398812759</v>
      </c>
      <c r="V12" s="17"/>
      <c r="W12" s="267">
        <f t="shared" si="7"/>
        <v>15884.667398812759</v>
      </c>
      <c r="X12" s="45">
        <v>15000</v>
      </c>
      <c r="Y12" s="263">
        <f t="shared" si="8"/>
        <v>884.6673988127586</v>
      </c>
      <c r="Z12" s="84"/>
      <c r="AA12" s="57"/>
      <c r="AB12" s="273">
        <f t="shared" si="9"/>
        <v>884.6673988127586</v>
      </c>
    </row>
    <row r="13" spans="1:30" ht="12.75">
      <c r="A13" s="12">
        <f t="shared" si="10"/>
        <v>8</v>
      </c>
      <c r="B13" s="12">
        <f t="shared" si="10"/>
        <v>38</v>
      </c>
      <c r="C13" s="221">
        <f t="shared" si="11"/>
        <v>3108770.7291648025</v>
      </c>
      <c r="D13" s="246"/>
      <c r="E13" s="249">
        <f t="shared" si="15"/>
        <v>0.12</v>
      </c>
      <c r="F13" s="248">
        <f t="shared" si="12"/>
        <v>3481823.216664579</v>
      </c>
      <c r="G13" s="209">
        <f t="shared" si="13"/>
        <v>803728.6583320503</v>
      </c>
      <c r="H13" s="210">
        <f>+H12</f>
        <v>0.07</v>
      </c>
      <c r="I13" s="211">
        <f t="shared" si="14"/>
        <v>859989.6644152938</v>
      </c>
      <c r="J13" s="221">
        <f t="shared" si="0"/>
        <v>2621833.5522492854</v>
      </c>
      <c r="K13" s="255">
        <f t="shared" si="1"/>
        <v>218486.1293541071</v>
      </c>
      <c r="L13" s="222">
        <f>+L12</f>
        <v>39471.51807162306</v>
      </c>
      <c r="M13" s="259">
        <f t="shared" si="2"/>
        <v>179014.61128248405</v>
      </c>
      <c r="N13" s="36"/>
      <c r="O13" s="259">
        <f t="shared" si="3"/>
        <v>179014.61128248405</v>
      </c>
      <c r="P13" s="282">
        <f>+P12</f>
        <v>99485.90313274493</v>
      </c>
      <c r="Q13" s="259">
        <f t="shared" si="4"/>
        <v>79528.70814973912</v>
      </c>
      <c r="R13" s="45">
        <f t="shared" si="17"/>
        <v>17843.215794862</v>
      </c>
      <c r="S13" s="263">
        <f t="shared" si="5"/>
        <v>61685.49235487712</v>
      </c>
      <c r="T13" s="17">
        <f aca="true" t="shared" si="18" ref="T13:T23">+T12</f>
        <v>19401.534838019943</v>
      </c>
      <c r="U13" s="267">
        <f t="shared" si="6"/>
        <v>42283.957516857176</v>
      </c>
      <c r="V13" s="17"/>
      <c r="W13" s="267">
        <f t="shared" si="7"/>
        <v>42283.957516857176</v>
      </c>
      <c r="X13" s="45">
        <v>15000</v>
      </c>
      <c r="Y13" s="263">
        <f t="shared" si="8"/>
        <v>27283.957516857176</v>
      </c>
      <c r="Z13" s="84" t="s">
        <v>113</v>
      </c>
      <c r="AA13" s="21">
        <f>+AA15</f>
        <v>14801.819276858649</v>
      </c>
      <c r="AB13" s="273">
        <f t="shared" si="9"/>
        <v>12482.138239998527</v>
      </c>
      <c r="AD13" s="12" t="s">
        <v>73</v>
      </c>
    </row>
    <row r="14" spans="1:30" ht="12.75">
      <c r="A14" s="12">
        <f t="shared" si="10"/>
        <v>9</v>
      </c>
      <c r="B14" s="12">
        <f t="shared" si="10"/>
        <v>39</v>
      </c>
      <c r="C14" s="221">
        <f t="shared" si="11"/>
        <v>3481823.216664579</v>
      </c>
      <c r="D14" s="246"/>
      <c r="E14" s="249">
        <f t="shared" si="15"/>
        <v>0.12</v>
      </c>
      <c r="F14" s="248">
        <f t="shared" si="12"/>
        <v>3899642.002664329</v>
      </c>
      <c r="G14" s="209">
        <f t="shared" si="13"/>
        <v>859989.6644152938</v>
      </c>
      <c r="H14" s="210">
        <f aca="true" t="shared" si="19" ref="H14:H34">+H13</f>
        <v>0.07</v>
      </c>
      <c r="I14" s="211">
        <f t="shared" si="14"/>
        <v>920188.9409243645</v>
      </c>
      <c r="J14" s="221">
        <f t="shared" si="0"/>
        <v>2979453.0617399644</v>
      </c>
      <c r="K14" s="255">
        <f t="shared" si="1"/>
        <v>248287.75514499703</v>
      </c>
      <c r="L14" s="220">
        <f>+L13</f>
        <v>39471.51807162306</v>
      </c>
      <c r="M14" s="259">
        <f t="shared" si="2"/>
        <v>208816.23707337398</v>
      </c>
      <c r="N14" s="36"/>
      <c r="O14" s="259">
        <f t="shared" si="3"/>
        <v>208816.23707337398</v>
      </c>
      <c r="P14" s="282">
        <f aca="true" t="shared" si="20" ref="P14:P19">+P13</f>
        <v>99485.90313274493</v>
      </c>
      <c r="Q14" s="259">
        <f t="shared" si="4"/>
        <v>109330.33394062905</v>
      </c>
      <c r="R14" s="45">
        <f t="shared" si="17"/>
        <v>17843.215794862</v>
      </c>
      <c r="S14" s="263">
        <f t="shared" si="5"/>
        <v>91487.11814576705</v>
      </c>
      <c r="T14" s="17">
        <f t="shared" si="18"/>
        <v>19401.534838019943</v>
      </c>
      <c r="U14" s="267">
        <f t="shared" si="6"/>
        <v>72085.5833077471</v>
      </c>
      <c r="V14" s="17"/>
      <c r="W14" s="267">
        <f t="shared" si="7"/>
        <v>72085.5833077471</v>
      </c>
      <c r="X14" s="45">
        <v>15000</v>
      </c>
      <c r="Y14" s="263">
        <f t="shared" si="8"/>
        <v>57085.5833077471</v>
      </c>
      <c r="Z14" s="84" t="s">
        <v>113</v>
      </c>
      <c r="AA14" s="21">
        <f>+AA15</f>
        <v>14801.819276858649</v>
      </c>
      <c r="AB14" s="273">
        <f t="shared" si="9"/>
        <v>42283.76403088846</v>
      </c>
      <c r="AD14" s="12" t="s">
        <v>73</v>
      </c>
    </row>
    <row r="15" spans="1:30" ht="12.75">
      <c r="A15" s="12">
        <f t="shared" si="10"/>
        <v>10</v>
      </c>
      <c r="B15" s="12">
        <f t="shared" si="10"/>
        <v>40</v>
      </c>
      <c r="C15" s="221">
        <f t="shared" si="11"/>
        <v>3899642.002664329</v>
      </c>
      <c r="D15" s="246"/>
      <c r="E15" s="249">
        <f t="shared" si="15"/>
        <v>0.12</v>
      </c>
      <c r="F15" s="248">
        <f t="shared" si="12"/>
        <v>4367599.042984049</v>
      </c>
      <c r="G15" s="209">
        <f t="shared" si="13"/>
        <v>920188.9409243645</v>
      </c>
      <c r="H15" s="210">
        <f t="shared" si="19"/>
        <v>0.07</v>
      </c>
      <c r="I15" s="211">
        <f t="shared" si="14"/>
        <v>984602.1667890701</v>
      </c>
      <c r="J15" s="221">
        <f t="shared" si="0"/>
        <v>3382996.8761949786</v>
      </c>
      <c r="K15" s="255">
        <f t="shared" si="1"/>
        <v>281916.40634958155</v>
      </c>
      <c r="L15" s="221"/>
      <c r="M15" s="259">
        <f t="shared" si="2"/>
        <v>281916.40634958155</v>
      </c>
      <c r="N15" s="36"/>
      <c r="O15" s="259">
        <f t="shared" si="3"/>
        <v>281916.40634958155</v>
      </c>
      <c r="P15" s="282">
        <f t="shared" si="20"/>
        <v>99485.90313274493</v>
      </c>
      <c r="Q15" s="259">
        <f t="shared" si="4"/>
        <v>182430.5032168366</v>
      </c>
      <c r="R15" s="45">
        <f t="shared" si="17"/>
        <v>17843.215794862</v>
      </c>
      <c r="S15" s="263">
        <f t="shared" si="5"/>
        <v>164587.2874219746</v>
      </c>
      <c r="T15" s="17">
        <f t="shared" si="18"/>
        <v>19401.534838019943</v>
      </c>
      <c r="U15" s="267">
        <f t="shared" si="6"/>
        <v>145185.75258395466</v>
      </c>
      <c r="V15" s="17">
        <f>+K114</f>
        <v>112094.56959671628</v>
      </c>
      <c r="W15" s="267">
        <f t="shared" si="7"/>
        <v>33091.18298723838</v>
      </c>
      <c r="X15" s="45">
        <v>15000</v>
      </c>
      <c r="Y15" s="263">
        <f t="shared" si="8"/>
        <v>18091.182987238382</v>
      </c>
      <c r="Z15" s="84" t="s">
        <v>113</v>
      </c>
      <c r="AA15" s="92">
        <f>+F124</f>
        <v>14801.819276858649</v>
      </c>
      <c r="AB15" s="273">
        <f t="shared" si="9"/>
        <v>3289.3637103797337</v>
      </c>
      <c r="AD15" s="12" t="s">
        <v>73</v>
      </c>
    </row>
    <row r="16" spans="1:28" ht="12.75">
      <c r="A16" s="12">
        <f t="shared" si="10"/>
        <v>11</v>
      </c>
      <c r="B16" s="12">
        <f t="shared" si="10"/>
        <v>41</v>
      </c>
      <c r="C16" s="221">
        <f t="shared" si="11"/>
        <v>4367599.042984049</v>
      </c>
      <c r="D16" s="246"/>
      <c r="E16" s="249">
        <f t="shared" si="15"/>
        <v>0.12</v>
      </c>
      <c r="F16" s="248">
        <f t="shared" si="12"/>
        <v>4891710.928142135</v>
      </c>
      <c r="G16" s="209">
        <f t="shared" si="13"/>
        <v>984602.1667890701</v>
      </c>
      <c r="H16" s="210">
        <f t="shared" si="19"/>
        <v>0.07</v>
      </c>
      <c r="I16" s="211">
        <f t="shared" si="14"/>
        <v>1053524.318464305</v>
      </c>
      <c r="J16" s="221">
        <f t="shared" si="0"/>
        <v>3838186.60967783</v>
      </c>
      <c r="K16" s="255">
        <f t="shared" si="1"/>
        <v>319848.8841398191</v>
      </c>
      <c r="L16" s="221"/>
      <c r="M16" s="259">
        <f t="shared" si="2"/>
        <v>319848.8841398191</v>
      </c>
      <c r="N16" s="36"/>
      <c r="O16" s="259">
        <f t="shared" si="3"/>
        <v>319848.8841398191</v>
      </c>
      <c r="P16" s="282">
        <f t="shared" si="20"/>
        <v>99485.90313274493</v>
      </c>
      <c r="Q16" s="259">
        <f t="shared" si="4"/>
        <v>220362.98100707418</v>
      </c>
      <c r="R16" s="45">
        <f t="shared" si="17"/>
        <v>17843.215794862</v>
      </c>
      <c r="S16" s="263">
        <f t="shared" si="5"/>
        <v>202519.76521221217</v>
      </c>
      <c r="T16" s="17">
        <f t="shared" si="18"/>
        <v>19401.534838019943</v>
      </c>
      <c r="U16" s="267">
        <f t="shared" si="6"/>
        <v>183118.23037419224</v>
      </c>
      <c r="V16" s="17">
        <f t="shared" si="16"/>
        <v>112094.56959671628</v>
      </c>
      <c r="W16" s="267">
        <f t="shared" si="7"/>
        <v>71023.66077747596</v>
      </c>
      <c r="X16" s="45">
        <v>30000</v>
      </c>
      <c r="Y16" s="263">
        <f t="shared" si="8"/>
        <v>41023.66077747596</v>
      </c>
      <c r="Z16" s="84"/>
      <c r="AA16" s="92"/>
      <c r="AB16" s="273">
        <f t="shared" si="9"/>
        <v>41023.66077747596</v>
      </c>
    </row>
    <row r="17" spans="1:30" ht="12.75">
      <c r="A17" s="12">
        <f t="shared" si="10"/>
        <v>12</v>
      </c>
      <c r="B17" s="12">
        <f t="shared" si="10"/>
        <v>42</v>
      </c>
      <c r="C17" s="221">
        <f t="shared" si="11"/>
        <v>4891710.928142135</v>
      </c>
      <c r="D17" s="246"/>
      <c r="E17" s="249">
        <f>+E16</f>
        <v>0.12</v>
      </c>
      <c r="F17" s="248">
        <f t="shared" si="12"/>
        <v>5478716.239519192</v>
      </c>
      <c r="G17" s="209">
        <f t="shared" si="13"/>
        <v>1053524.318464305</v>
      </c>
      <c r="H17" s="210">
        <f t="shared" si="19"/>
        <v>0.07</v>
      </c>
      <c r="I17" s="211">
        <f t="shared" si="14"/>
        <v>1127271.0207568065</v>
      </c>
      <c r="J17" s="221">
        <f t="shared" si="0"/>
        <v>4351445.218762386</v>
      </c>
      <c r="K17" s="255">
        <f t="shared" si="1"/>
        <v>362620.43489686545</v>
      </c>
      <c r="L17" s="221"/>
      <c r="M17" s="259">
        <f t="shared" si="2"/>
        <v>362620.43489686545</v>
      </c>
      <c r="N17" s="36"/>
      <c r="O17" s="259">
        <f t="shared" si="3"/>
        <v>362620.43489686545</v>
      </c>
      <c r="P17" s="282">
        <f t="shared" si="20"/>
        <v>99485.90313274493</v>
      </c>
      <c r="Q17" s="259">
        <f t="shared" si="4"/>
        <v>263134.5317641205</v>
      </c>
      <c r="R17" s="45">
        <f t="shared" si="17"/>
        <v>17843.215794862</v>
      </c>
      <c r="S17" s="263">
        <f t="shared" si="5"/>
        <v>245291.3159692585</v>
      </c>
      <c r="T17" s="17">
        <f t="shared" si="18"/>
        <v>19401.534838019943</v>
      </c>
      <c r="U17" s="267">
        <f t="shared" si="6"/>
        <v>225889.78113123856</v>
      </c>
      <c r="V17" s="17">
        <f t="shared" si="16"/>
        <v>112094.56959671628</v>
      </c>
      <c r="W17" s="267">
        <f t="shared" si="7"/>
        <v>113795.21153452228</v>
      </c>
      <c r="X17" s="45">
        <f>+X16</f>
        <v>30000</v>
      </c>
      <c r="Y17" s="263">
        <f t="shared" si="8"/>
        <v>83795.21153452228</v>
      </c>
      <c r="Z17" s="84" t="s">
        <v>114</v>
      </c>
      <c r="AA17" s="15">
        <f>+G124</f>
        <v>77121.24957903565</v>
      </c>
      <c r="AB17" s="273">
        <f t="shared" si="9"/>
        <v>6673.961955486637</v>
      </c>
      <c r="AD17" s="12" t="s">
        <v>235</v>
      </c>
    </row>
    <row r="18" spans="1:30" ht="12.75">
      <c r="A18" s="12">
        <f t="shared" si="10"/>
        <v>13</v>
      </c>
      <c r="B18" s="12">
        <f t="shared" si="10"/>
        <v>43</v>
      </c>
      <c r="C18" s="221">
        <f t="shared" si="11"/>
        <v>5478716.239519192</v>
      </c>
      <c r="D18" s="246"/>
      <c r="E18" s="249">
        <f>+E17</f>
        <v>0.12</v>
      </c>
      <c r="F18" s="248">
        <f t="shared" si="12"/>
        <v>6136162.188261496</v>
      </c>
      <c r="G18" s="209">
        <f t="shared" si="13"/>
        <v>1127271.0207568065</v>
      </c>
      <c r="H18" s="210">
        <f t="shared" si="19"/>
        <v>0.07</v>
      </c>
      <c r="I18" s="211">
        <f t="shared" si="14"/>
        <v>1206179.992209783</v>
      </c>
      <c r="J18" s="221">
        <f t="shared" si="0"/>
        <v>4929982.196051713</v>
      </c>
      <c r="K18" s="255">
        <f t="shared" si="1"/>
        <v>410831.8496709761</v>
      </c>
      <c r="L18" s="221"/>
      <c r="M18" s="259">
        <f t="shared" si="2"/>
        <v>410831.8496709761</v>
      </c>
      <c r="N18" s="36"/>
      <c r="O18" s="259">
        <f t="shared" si="3"/>
        <v>410831.8496709761</v>
      </c>
      <c r="P18" s="282">
        <f t="shared" si="20"/>
        <v>99485.90313274493</v>
      </c>
      <c r="Q18" s="259">
        <f t="shared" si="4"/>
        <v>311345.94653823116</v>
      </c>
      <c r="R18" s="45">
        <f t="shared" si="17"/>
        <v>17843.215794862</v>
      </c>
      <c r="S18" s="263">
        <f t="shared" si="5"/>
        <v>293502.73074336915</v>
      </c>
      <c r="T18" s="17">
        <f t="shared" si="18"/>
        <v>19401.534838019943</v>
      </c>
      <c r="U18" s="267">
        <f t="shared" si="6"/>
        <v>274101.1959053492</v>
      </c>
      <c r="V18" s="17">
        <f t="shared" si="16"/>
        <v>112094.56959671628</v>
      </c>
      <c r="W18" s="267">
        <f t="shared" si="7"/>
        <v>162006.62630863296</v>
      </c>
      <c r="X18" s="45">
        <v>75000</v>
      </c>
      <c r="Y18" s="263">
        <f t="shared" si="8"/>
        <v>87006.62630863296</v>
      </c>
      <c r="Z18" s="84" t="s">
        <v>114</v>
      </c>
      <c r="AA18" s="16">
        <f>+AA17</f>
        <v>77121.24957903565</v>
      </c>
      <c r="AB18" s="273">
        <f t="shared" si="9"/>
        <v>9885.376729597308</v>
      </c>
      <c r="AD18" s="12" t="s">
        <v>235</v>
      </c>
    </row>
    <row r="19" spans="1:30" ht="12.75">
      <c r="A19" s="12">
        <f t="shared" si="10"/>
        <v>14</v>
      </c>
      <c r="B19" s="12">
        <f t="shared" si="10"/>
        <v>44</v>
      </c>
      <c r="C19" s="221">
        <f t="shared" si="11"/>
        <v>6136162.188261496</v>
      </c>
      <c r="D19" s="246"/>
      <c r="E19" s="249">
        <f aca="true" t="shared" si="21" ref="E19:E34">+E18</f>
        <v>0.12</v>
      </c>
      <c r="F19" s="248">
        <f t="shared" si="12"/>
        <v>6872501.650852876</v>
      </c>
      <c r="G19" s="209">
        <f t="shared" si="13"/>
        <v>1206179.992209783</v>
      </c>
      <c r="H19" s="210">
        <f t="shared" si="19"/>
        <v>0.07</v>
      </c>
      <c r="I19" s="211">
        <f t="shared" si="14"/>
        <v>1290612.591664468</v>
      </c>
      <c r="J19" s="221">
        <f t="shared" si="0"/>
        <v>5581889.059188408</v>
      </c>
      <c r="K19" s="255">
        <f t="shared" si="1"/>
        <v>465157.421599034</v>
      </c>
      <c r="L19" s="219">
        <f>+L13</f>
        <v>39471.51807162306</v>
      </c>
      <c r="M19" s="259">
        <f t="shared" si="2"/>
        <v>425685.90352741093</v>
      </c>
      <c r="N19" s="36"/>
      <c r="O19" s="259">
        <f t="shared" si="3"/>
        <v>425685.90352741093</v>
      </c>
      <c r="P19" s="282">
        <f t="shared" si="20"/>
        <v>99485.90313274493</v>
      </c>
      <c r="Q19" s="259">
        <f t="shared" si="4"/>
        <v>326200.000394666</v>
      </c>
      <c r="R19" s="45">
        <f t="shared" si="17"/>
        <v>17843.215794862</v>
      </c>
      <c r="S19" s="263">
        <f t="shared" si="5"/>
        <v>308356.78459980397</v>
      </c>
      <c r="T19" s="17">
        <f t="shared" si="18"/>
        <v>19401.534838019943</v>
      </c>
      <c r="U19" s="267">
        <f t="shared" si="6"/>
        <v>288955.24976178404</v>
      </c>
      <c r="V19" s="17">
        <f t="shared" si="16"/>
        <v>112094.56959671628</v>
      </c>
      <c r="W19" s="267">
        <f t="shared" si="7"/>
        <v>176860.68016506778</v>
      </c>
      <c r="X19" s="45">
        <f>+X18</f>
        <v>75000</v>
      </c>
      <c r="Y19" s="263">
        <f t="shared" si="8"/>
        <v>101860.68016506778</v>
      </c>
      <c r="Z19" s="84" t="s">
        <v>115</v>
      </c>
      <c r="AA19" s="21">
        <f>+H124</f>
        <v>80321.76241875513</v>
      </c>
      <c r="AB19" s="273">
        <f t="shared" si="9"/>
        <v>21538.917746312654</v>
      </c>
      <c r="AD19" s="12" t="s">
        <v>239</v>
      </c>
    </row>
    <row r="20" spans="1:28" ht="12.75">
      <c r="A20" s="12">
        <f t="shared" si="10"/>
        <v>15</v>
      </c>
      <c r="B20" s="12">
        <f t="shared" si="10"/>
        <v>45</v>
      </c>
      <c r="C20" s="221">
        <f t="shared" si="11"/>
        <v>6872501.650852876</v>
      </c>
      <c r="D20" s="246"/>
      <c r="E20" s="249">
        <f t="shared" si="21"/>
        <v>0.12</v>
      </c>
      <c r="F20" s="248">
        <f t="shared" si="12"/>
        <v>7697201.8489552215</v>
      </c>
      <c r="G20" s="209">
        <f t="shared" si="13"/>
        <v>1290612.591664468</v>
      </c>
      <c r="H20" s="210">
        <f t="shared" si="19"/>
        <v>0.07</v>
      </c>
      <c r="I20" s="211">
        <f t="shared" si="14"/>
        <v>1380955.4730809808</v>
      </c>
      <c r="J20" s="221">
        <f t="shared" si="0"/>
        <v>6316246.375874241</v>
      </c>
      <c r="K20" s="255">
        <f t="shared" si="1"/>
        <v>526353.8646561868</v>
      </c>
      <c r="L20" s="222">
        <f>+L14</f>
        <v>39471.51807162306</v>
      </c>
      <c r="M20" s="259">
        <f t="shared" si="2"/>
        <v>486882.3465845637</v>
      </c>
      <c r="N20" s="36"/>
      <c r="O20" s="259">
        <f t="shared" si="3"/>
        <v>486882.3465845637</v>
      </c>
      <c r="P20" s="282">
        <f>+G80</f>
        <v>191779.70639508878</v>
      </c>
      <c r="Q20" s="259">
        <f t="shared" si="4"/>
        <v>295102.6401894749</v>
      </c>
      <c r="R20" s="45">
        <f t="shared" si="17"/>
        <v>17843.215794862</v>
      </c>
      <c r="S20" s="263">
        <f t="shared" si="5"/>
        <v>277259.4243946129</v>
      </c>
      <c r="T20" s="17">
        <f t="shared" si="18"/>
        <v>19401.534838019943</v>
      </c>
      <c r="U20" s="267">
        <f t="shared" si="6"/>
        <v>257857.88955659297</v>
      </c>
      <c r="V20" s="17">
        <f t="shared" si="16"/>
        <v>112094.56959671628</v>
      </c>
      <c r="W20" s="267">
        <f t="shared" si="7"/>
        <v>145763.3199598767</v>
      </c>
      <c r="X20" s="45">
        <f>+X19</f>
        <v>75000</v>
      </c>
      <c r="Y20" s="263">
        <f t="shared" si="8"/>
        <v>70763.31995987671</v>
      </c>
      <c r="Z20" s="84"/>
      <c r="AA20" s="15"/>
      <c r="AB20" s="273">
        <f t="shared" si="9"/>
        <v>70763.31995987671</v>
      </c>
    </row>
    <row r="21" spans="1:28" ht="12.75">
      <c r="A21" s="12">
        <f t="shared" si="10"/>
        <v>16</v>
      </c>
      <c r="B21" s="12">
        <f t="shared" si="10"/>
        <v>46</v>
      </c>
      <c r="C21" s="221">
        <f t="shared" si="11"/>
        <v>7697201.8489552215</v>
      </c>
      <c r="D21" s="246"/>
      <c r="E21" s="249">
        <f t="shared" si="21"/>
        <v>0.12</v>
      </c>
      <c r="F21" s="248">
        <f t="shared" si="12"/>
        <v>8620866.07082985</v>
      </c>
      <c r="G21" s="209">
        <f t="shared" si="13"/>
        <v>1380955.4730809808</v>
      </c>
      <c r="H21" s="210">
        <f t="shared" si="19"/>
        <v>0.07</v>
      </c>
      <c r="I21" s="211">
        <f t="shared" si="14"/>
        <v>1477622.3561966496</v>
      </c>
      <c r="J21" s="221">
        <f t="shared" si="0"/>
        <v>7143243.7146332</v>
      </c>
      <c r="K21" s="255">
        <f t="shared" si="1"/>
        <v>595270.3095527667</v>
      </c>
      <c r="L21" s="220">
        <f>+L20</f>
        <v>39471.51807162306</v>
      </c>
      <c r="M21" s="259">
        <f t="shared" si="2"/>
        <v>555798.7914811437</v>
      </c>
      <c r="N21" s="36"/>
      <c r="O21" s="259">
        <f t="shared" si="3"/>
        <v>555798.7914811437</v>
      </c>
      <c r="P21" s="282">
        <f>+P20</f>
        <v>191779.70639508878</v>
      </c>
      <c r="Q21" s="259">
        <f t="shared" si="4"/>
        <v>364019.08508605487</v>
      </c>
      <c r="R21" s="45"/>
      <c r="S21" s="263">
        <f t="shared" si="5"/>
        <v>364019.08508605487</v>
      </c>
      <c r="T21" s="17">
        <f t="shared" si="18"/>
        <v>19401.534838019943</v>
      </c>
      <c r="U21" s="267">
        <f t="shared" si="6"/>
        <v>344617.55024803494</v>
      </c>
      <c r="V21" s="17">
        <f t="shared" si="16"/>
        <v>112094.56959671628</v>
      </c>
      <c r="W21" s="267">
        <f t="shared" si="7"/>
        <v>232522.98065131868</v>
      </c>
      <c r="X21" s="45">
        <v>125000</v>
      </c>
      <c r="Y21" s="263">
        <f t="shared" si="8"/>
        <v>107522.98065131868</v>
      </c>
      <c r="Z21" s="84"/>
      <c r="AA21" s="16"/>
      <c r="AB21" s="273">
        <f t="shared" si="9"/>
        <v>107522.98065131868</v>
      </c>
    </row>
    <row r="22" spans="1:30" ht="12.75">
      <c r="A22" s="12">
        <f t="shared" si="10"/>
        <v>17</v>
      </c>
      <c r="B22" s="12">
        <f t="shared" si="10"/>
        <v>47</v>
      </c>
      <c r="C22" s="221">
        <f t="shared" si="11"/>
        <v>8620866.07082985</v>
      </c>
      <c r="D22" s="246"/>
      <c r="E22" s="249">
        <v>0.1</v>
      </c>
      <c r="F22" s="248">
        <f t="shared" si="12"/>
        <v>9482952.677912835</v>
      </c>
      <c r="G22" s="209">
        <f t="shared" si="13"/>
        <v>1477622.3561966496</v>
      </c>
      <c r="H22" s="210">
        <f t="shared" si="19"/>
        <v>0.07</v>
      </c>
      <c r="I22" s="211">
        <f t="shared" si="14"/>
        <v>1581055.9211304153</v>
      </c>
      <c r="J22" s="221">
        <f t="shared" si="0"/>
        <v>7901896.75678242</v>
      </c>
      <c r="K22" s="255">
        <f t="shared" si="1"/>
        <v>658491.396398535</v>
      </c>
      <c r="L22" s="221"/>
      <c r="M22" s="259">
        <f t="shared" si="2"/>
        <v>658491.396398535</v>
      </c>
      <c r="N22" s="36"/>
      <c r="O22" s="259">
        <f t="shared" si="3"/>
        <v>658491.396398535</v>
      </c>
      <c r="P22" s="282">
        <f>+G80</f>
        <v>191779.70639508878</v>
      </c>
      <c r="Q22" s="259">
        <f t="shared" si="4"/>
        <v>466711.6900034462</v>
      </c>
      <c r="R22" s="45"/>
      <c r="S22" s="263">
        <f t="shared" si="5"/>
        <v>466711.6900034462</v>
      </c>
      <c r="T22" s="17">
        <f t="shared" si="18"/>
        <v>19401.534838019943</v>
      </c>
      <c r="U22" s="267">
        <f t="shared" si="6"/>
        <v>447310.15516542626</v>
      </c>
      <c r="V22" s="17">
        <f t="shared" si="16"/>
        <v>112094.56959671628</v>
      </c>
      <c r="W22" s="267">
        <f t="shared" si="7"/>
        <v>335215.58556871</v>
      </c>
      <c r="X22" s="45">
        <f aca="true" t="shared" si="22" ref="X22:X27">+X21</f>
        <v>125000</v>
      </c>
      <c r="Y22" s="263">
        <f t="shared" si="8"/>
        <v>210215.58556871</v>
      </c>
      <c r="Z22" s="84" t="s">
        <v>117</v>
      </c>
      <c r="AA22" s="21">
        <f>+I124</f>
        <v>200804.4060468878</v>
      </c>
      <c r="AB22" s="273">
        <f t="shared" si="9"/>
        <v>9411.179521822196</v>
      </c>
      <c r="AD22" s="12" t="s">
        <v>240</v>
      </c>
    </row>
    <row r="23" spans="1:30" ht="12.75">
      <c r="A23" s="12">
        <f t="shared" si="10"/>
        <v>18</v>
      </c>
      <c r="B23" s="12">
        <f t="shared" si="10"/>
        <v>48</v>
      </c>
      <c r="C23" s="221">
        <f t="shared" si="11"/>
        <v>9482952.677912835</v>
      </c>
      <c r="D23" s="246"/>
      <c r="E23" s="249">
        <f t="shared" si="21"/>
        <v>0.1</v>
      </c>
      <c r="F23" s="248">
        <f t="shared" si="12"/>
        <v>10431247.94570412</v>
      </c>
      <c r="G23" s="209">
        <f t="shared" si="13"/>
        <v>1581055.9211304153</v>
      </c>
      <c r="H23" s="210">
        <f t="shared" si="19"/>
        <v>0.07</v>
      </c>
      <c r="I23" s="211">
        <f t="shared" si="14"/>
        <v>1691729.8356095445</v>
      </c>
      <c r="J23" s="221">
        <f t="shared" si="0"/>
        <v>8739518.110094575</v>
      </c>
      <c r="K23" s="255">
        <f t="shared" si="1"/>
        <v>728293.1758412146</v>
      </c>
      <c r="L23" s="221"/>
      <c r="M23" s="259">
        <f t="shared" si="2"/>
        <v>728293.1758412146</v>
      </c>
      <c r="N23" s="36"/>
      <c r="O23" s="259">
        <f t="shared" si="3"/>
        <v>728293.1758412146</v>
      </c>
      <c r="P23" s="282"/>
      <c r="Q23" s="259">
        <f t="shared" si="4"/>
        <v>728293.1758412146</v>
      </c>
      <c r="R23" s="44"/>
      <c r="S23" s="263">
        <f t="shared" si="5"/>
        <v>728293.1758412146</v>
      </c>
      <c r="T23" s="17">
        <f t="shared" si="18"/>
        <v>19401.534838019943</v>
      </c>
      <c r="U23" s="267">
        <f t="shared" si="6"/>
        <v>708891.6410031946</v>
      </c>
      <c r="V23" s="17">
        <f t="shared" si="16"/>
        <v>112094.56959671628</v>
      </c>
      <c r="W23" s="267">
        <f t="shared" si="7"/>
        <v>596797.0714064783</v>
      </c>
      <c r="X23" s="45">
        <f t="shared" si="22"/>
        <v>125000</v>
      </c>
      <c r="Y23" s="263">
        <f t="shared" si="8"/>
        <v>471797.0714064783</v>
      </c>
      <c r="Z23" s="84" t="s">
        <v>117</v>
      </c>
      <c r="AA23" s="21">
        <f>+J124</f>
        <v>321287.0496750205</v>
      </c>
      <c r="AB23" s="273">
        <f t="shared" si="9"/>
        <v>150510.0217314578</v>
      </c>
      <c r="AD23" s="12" t="s">
        <v>238</v>
      </c>
    </row>
    <row r="24" spans="1:28" ht="12.75">
      <c r="A24" s="12">
        <f t="shared" si="10"/>
        <v>19</v>
      </c>
      <c r="B24" s="12">
        <f t="shared" si="10"/>
        <v>49</v>
      </c>
      <c r="C24" s="221">
        <f t="shared" si="11"/>
        <v>10431247.94570412</v>
      </c>
      <c r="D24" s="246"/>
      <c r="E24" s="249">
        <f t="shared" si="21"/>
        <v>0.1</v>
      </c>
      <c r="F24" s="248">
        <f t="shared" si="12"/>
        <v>11474372.740274532</v>
      </c>
      <c r="G24" s="209">
        <f t="shared" si="13"/>
        <v>1691729.8356095445</v>
      </c>
      <c r="H24" s="210">
        <f t="shared" si="19"/>
        <v>0.07</v>
      </c>
      <c r="I24" s="211">
        <f t="shared" si="14"/>
        <v>1810150.9241022128</v>
      </c>
      <c r="J24" s="221">
        <f t="shared" si="0"/>
        <v>9664221.816172319</v>
      </c>
      <c r="K24" s="255">
        <f t="shared" si="1"/>
        <v>805351.8180143599</v>
      </c>
      <c r="L24" s="221"/>
      <c r="M24" s="259">
        <f t="shared" si="2"/>
        <v>805351.8180143599</v>
      </c>
      <c r="N24" s="36"/>
      <c r="O24" s="259">
        <f t="shared" si="3"/>
        <v>805351.8180143599</v>
      </c>
      <c r="P24" s="282">
        <f>+L76</f>
        <v>540400.5671499567</v>
      </c>
      <c r="Q24" s="259">
        <f t="shared" si="4"/>
        <v>264951.2508644032</v>
      </c>
      <c r="R24" s="44"/>
      <c r="S24" s="263">
        <f t="shared" si="5"/>
        <v>264951.2508644032</v>
      </c>
      <c r="T24" s="17"/>
      <c r="U24" s="267">
        <f t="shared" si="6"/>
        <v>264951.2508644032</v>
      </c>
      <c r="V24" s="17">
        <f t="shared" si="16"/>
        <v>112094.56959671628</v>
      </c>
      <c r="W24" s="267">
        <f t="shared" si="7"/>
        <v>152856.68126768694</v>
      </c>
      <c r="X24" s="45">
        <f t="shared" si="22"/>
        <v>125000</v>
      </c>
      <c r="Y24" s="263">
        <f t="shared" si="8"/>
        <v>27856.681267686945</v>
      </c>
      <c r="Z24" s="84"/>
      <c r="AA24" s="15"/>
      <c r="AB24" s="267">
        <f t="shared" si="9"/>
        <v>27856.681267686945</v>
      </c>
    </row>
    <row r="25" spans="1:28" ht="12.75">
      <c r="A25" s="12">
        <f t="shared" si="10"/>
        <v>20</v>
      </c>
      <c r="B25" s="12">
        <f t="shared" si="10"/>
        <v>50</v>
      </c>
      <c r="C25" s="221">
        <f t="shared" si="11"/>
        <v>11474372.740274532</v>
      </c>
      <c r="D25" s="246"/>
      <c r="E25" s="249">
        <f t="shared" si="21"/>
        <v>0.1</v>
      </c>
      <c r="F25" s="248">
        <f t="shared" si="12"/>
        <v>12621810.014301986</v>
      </c>
      <c r="G25" s="209">
        <f t="shared" si="13"/>
        <v>1810150.9241022128</v>
      </c>
      <c r="H25" s="210">
        <f t="shared" si="19"/>
        <v>0.07</v>
      </c>
      <c r="I25" s="211">
        <f t="shared" si="14"/>
        <v>1936861.4887893677</v>
      </c>
      <c r="J25" s="221">
        <f t="shared" si="0"/>
        <v>10684948.525512617</v>
      </c>
      <c r="K25" s="255">
        <f t="shared" si="1"/>
        <v>890412.3771260515</v>
      </c>
      <c r="L25" s="221">
        <f>+L24</f>
        <v>0</v>
      </c>
      <c r="M25" s="259">
        <f t="shared" si="2"/>
        <v>890412.3771260515</v>
      </c>
      <c r="N25" s="36"/>
      <c r="O25" s="259">
        <f t="shared" si="3"/>
        <v>890412.3771260515</v>
      </c>
      <c r="P25" s="282">
        <f>+P24</f>
        <v>540400.5671499567</v>
      </c>
      <c r="Q25" s="259">
        <f t="shared" si="4"/>
        <v>350011.80997609475</v>
      </c>
      <c r="R25" s="44"/>
      <c r="S25" s="263">
        <f t="shared" si="5"/>
        <v>350011.80997609475</v>
      </c>
      <c r="T25" s="17"/>
      <c r="U25" s="267">
        <f t="shared" si="6"/>
        <v>350011.80997609475</v>
      </c>
      <c r="V25" s="17">
        <f t="shared" si="16"/>
        <v>112094.56959671628</v>
      </c>
      <c r="W25" s="267">
        <f t="shared" si="7"/>
        <v>237917.2403793785</v>
      </c>
      <c r="X25" s="45">
        <f t="shared" si="22"/>
        <v>125000</v>
      </c>
      <c r="Y25" s="263">
        <f t="shared" si="8"/>
        <v>112917.24037937849</v>
      </c>
      <c r="Z25" s="84"/>
      <c r="AA25" s="21">
        <f>+AA24</f>
        <v>0</v>
      </c>
      <c r="AB25" s="267">
        <f t="shared" si="9"/>
        <v>112917.24037937849</v>
      </c>
    </row>
    <row r="26" spans="1:28" ht="12.75">
      <c r="A26" s="12">
        <f t="shared" si="10"/>
        <v>21</v>
      </c>
      <c r="B26" s="12">
        <f t="shared" si="10"/>
        <v>51</v>
      </c>
      <c r="C26" s="221">
        <f t="shared" si="11"/>
        <v>12621810.014301986</v>
      </c>
      <c r="D26" s="246"/>
      <c r="E26" s="249">
        <f t="shared" si="21"/>
        <v>0.1</v>
      </c>
      <c r="F26" s="248">
        <f t="shared" si="12"/>
        <v>13883991.015732186</v>
      </c>
      <c r="G26" s="209">
        <f t="shared" si="13"/>
        <v>1936861.4887893677</v>
      </c>
      <c r="H26" s="210">
        <f t="shared" si="19"/>
        <v>0.07</v>
      </c>
      <c r="I26" s="211">
        <f t="shared" si="14"/>
        <v>2072441.7930046236</v>
      </c>
      <c r="J26" s="221">
        <f t="shared" si="0"/>
        <v>11811549.222727563</v>
      </c>
      <c r="K26" s="255">
        <f t="shared" si="1"/>
        <v>984295.7685606303</v>
      </c>
      <c r="L26" s="219">
        <f>+L51</f>
        <v>148018.19276858648</v>
      </c>
      <c r="M26" s="259">
        <f t="shared" si="2"/>
        <v>836277.5757920438</v>
      </c>
      <c r="N26" s="36"/>
      <c r="O26" s="259">
        <f t="shared" si="3"/>
        <v>836277.5757920438</v>
      </c>
      <c r="P26" s="282">
        <f>+P25</f>
        <v>540400.5671499567</v>
      </c>
      <c r="Q26" s="259">
        <f t="shared" si="4"/>
        <v>295877.0086420871</v>
      </c>
      <c r="R26" s="44"/>
      <c r="S26" s="263">
        <f t="shared" si="5"/>
        <v>295877.0086420871</v>
      </c>
      <c r="T26" s="17"/>
      <c r="U26" s="267">
        <f t="shared" si="6"/>
        <v>295877.0086420871</v>
      </c>
      <c r="V26" s="17">
        <f t="shared" si="16"/>
        <v>112094.56959671628</v>
      </c>
      <c r="W26" s="267">
        <f t="shared" si="7"/>
        <v>183782.43904537085</v>
      </c>
      <c r="X26" s="45">
        <f t="shared" si="22"/>
        <v>125000</v>
      </c>
      <c r="Y26" s="263">
        <f t="shared" si="8"/>
        <v>58782.43904537085</v>
      </c>
      <c r="Z26" s="84"/>
      <c r="AA26" s="21">
        <f>+AA25</f>
        <v>0</v>
      </c>
      <c r="AB26" s="267">
        <f t="shared" si="9"/>
        <v>58782.43904537085</v>
      </c>
    </row>
    <row r="27" spans="1:30" ht="12.75">
      <c r="A27" s="12">
        <f t="shared" si="10"/>
        <v>22</v>
      </c>
      <c r="B27" s="12">
        <f t="shared" si="10"/>
        <v>52</v>
      </c>
      <c r="C27" s="221">
        <f t="shared" si="11"/>
        <v>13883991.015732186</v>
      </c>
      <c r="D27" s="246"/>
      <c r="E27" s="249">
        <f t="shared" si="21"/>
        <v>0.1</v>
      </c>
      <c r="F27" s="248">
        <f t="shared" si="12"/>
        <v>15272390.117305405</v>
      </c>
      <c r="G27" s="209">
        <f t="shared" si="13"/>
        <v>2072441.7930046236</v>
      </c>
      <c r="H27" s="210">
        <f t="shared" si="19"/>
        <v>0.07</v>
      </c>
      <c r="I27" s="211">
        <f t="shared" si="14"/>
        <v>2217512.718514947</v>
      </c>
      <c r="J27" s="221">
        <f t="shared" si="0"/>
        <v>13054877.398790458</v>
      </c>
      <c r="K27" s="255">
        <f t="shared" si="1"/>
        <v>1087906.4498992048</v>
      </c>
      <c r="L27" s="222">
        <f>+L26</f>
        <v>148018.19276858648</v>
      </c>
      <c r="M27" s="259">
        <f t="shared" si="2"/>
        <v>939888.2571306183</v>
      </c>
      <c r="N27" s="36"/>
      <c r="O27" s="259">
        <f t="shared" si="3"/>
        <v>939888.2571306183</v>
      </c>
      <c r="P27" s="282">
        <f>+L76</f>
        <v>540400.5671499567</v>
      </c>
      <c r="Q27" s="259">
        <f t="shared" si="4"/>
        <v>399487.6899806616</v>
      </c>
      <c r="R27" s="44"/>
      <c r="S27" s="263">
        <f t="shared" si="5"/>
        <v>399487.6899806616</v>
      </c>
      <c r="T27" s="18"/>
      <c r="U27" s="267">
        <f t="shared" si="6"/>
        <v>399487.6899806616</v>
      </c>
      <c r="V27" s="17">
        <f t="shared" si="16"/>
        <v>112094.56959671628</v>
      </c>
      <c r="W27" s="267">
        <f t="shared" si="7"/>
        <v>287393.12038394535</v>
      </c>
      <c r="X27" s="45">
        <f t="shared" si="22"/>
        <v>125000</v>
      </c>
      <c r="Y27" s="263">
        <f t="shared" si="8"/>
        <v>162393.12038394535</v>
      </c>
      <c r="Z27" s="84" t="s">
        <v>174</v>
      </c>
      <c r="AA27" s="15">
        <f>+K124</f>
        <v>96401.56197379455</v>
      </c>
      <c r="AB27" s="267">
        <f t="shared" si="9"/>
        <v>65991.5584101508</v>
      </c>
      <c r="AC27" s="12">
        <v>1</v>
      </c>
      <c r="AD27" s="12" t="s">
        <v>241</v>
      </c>
    </row>
    <row r="28" spans="1:30" ht="12.75">
      <c r="A28" s="12">
        <f t="shared" si="10"/>
        <v>23</v>
      </c>
      <c r="B28" s="12">
        <f t="shared" si="10"/>
        <v>53</v>
      </c>
      <c r="C28" s="221">
        <f t="shared" si="11"/>
        <v>15272390.117305405</v>
      </c>
      <c r="D28" s="246"/>
      <c r="E28" s="249">
        <f t="shared" si="21"/>
        <v>0.1</v>
      </c>
      <c r="F28" s="248">
        <f t="shared" si="12"/>
        <v>16799629.129035946</v>
      </c>
      <c r="G28" s="209">
        <f t="shared" si="13"/>
        <v>2217512.718514947</v>
      </c>
      <c r="H28" s="210">
        <f t="shared" si="19"/>
        <v>0.07</v>
      </c>
      <c r="I28" s="211">
        <f t="shared" si="14"/>
        <v>2372738.608810994</v>
      </c>
      <c r="J28" s="221">
        <f t="shared" si="0"/>
        <v>14426890.520224951</v>
      </c>
      <c r="K28" s="255">
        <f t="shared" si="1"/>
        <v>1202240.8766854126</v>
      </c>
      <c r="L28" s="220">
        <f>+L27</f>
        <v>148018.19276858648</v>
      </c>
      <c r="M28" s="259">
        <f t="shared" si="2"/>
        <v>1054222.683916826</v>
      </c>
      <c r="N28" s="36"/>
      <c r="O28" s="259">
        <f t="shared" si="3"/>
        <v>1054222.683916826</v>
      </c>
      <c r="P28" s="282">
        <f>+L76</f>
        <v>540400.5671499567</v>
      </c>
      <c r="Q28" s="259">
        <f t="shared" si="4"/>
        <v>513822.1167668693</v>
      </c>
      <c r="R28" s="44"/>
      <c r="S28" s="263">
        <f t="shared" si="5"/>
        <v>513822.1167668693</v>
      </c>
      <c r="T28" s="18"/>
      <c r="U28" s="267">
        <f t="shared" si="6"/>
        <v>513822.1167668693</v>
      </c>
      <c r="V28" s="18"/>
      <c r="W28" s="267">
        <f t="shared" si="7"/>
        <v>513822.1167668693</v>
      </c>
      <c r="X28" s="45">
        <f>+X27</f>
        <v>125000</v>
      </c>
      <c r="Y28" s="263">
        <f t="shared" si="8"/>
        <v>388822.1167668693</v>
      </c>
      <c r="Z28" s="84" t="s">
        <v>174</v>
      </c>
      <c r="AA28" s="16">
        <f aca="true" t="shared" si="23" ref="AA28:AA34">+AA27</f>
        <v>96401.56197379455</v>
      </c>
      <c r="AB28" s="267">
        <f t="shared" si="9"/>
        <v>292420.5547930748</v>
      </c>
      <c r="AD28" s="12" t="s">
        <v>242</v>
      </c>
    </row>
    <row r="29" spans="1:30" ht="12.75">
      <c r="A29" s="12">
        <f t="shared" si="10"/>
        <v>24</v>
      </c>
      <c r="B29" s="12">
        <f t="shared" si="10"/>
        <v>54</v>
      </c>
      <c r="C29" s="221">
        <f t="shared" si="11"/>
        <v>16799629.129035946</v>
      </c>
      <c r="D29" s="246"/>
      <c r="E29" s="249">
        <f t="shared" si="21"/>
        <v>0.1</v>
      </c>
      <c r="F29" s="248">
        <f t="shared" si="12"/>
        <v>18479592.04193954</v>
      </c>
      <c r="G29" s="209">
        <f t="shared" si="13"/>
        <v>2372738.608810994</v>
      </c>
      <c r="H29" s="210">
        <f t="shared" si="19"/>
        <v>0.07</v>
      </c>
      <c r="I29" s="211">
        <f t="shared" si="14"/>
        <v>2538830.3114277637</v>
      </c>
      <c r="J29" s="221">
        <f t="shared" si="0"/>
        <v>15940761.730511777</v>
      </c>
      <c r="K29" s="255">
        <f t="shared" si="1"/>
        <v>1328396.8108759813</v>
      </c>
      <c r="L29" s="221"/>
      <c r="M29" s="259">
        <f t="shared" si="2"/>
        <v>1328396.8108759813</v>
      </c>
      <c r="N29" s="36"/>
      <c r="O29" s="259">
        <f t="shared" si="3"/>
        <v>1328396.8108759813</v>
      </c>
      <c r="P29" s="282">
        <f>+P28</f>
        <v>540400.5671499567</v>
      </c>
      <c r="Q29" s="259">
        <f t="shared" si="4"/>
        <v>787996.2437260246</v>
      </c>
      <c r="R29" s="44"/>
      <c r="S29" s="263">
        <f t="shared" si="5"/>
        <v>787996.2437260246</v>
      </c>
      <c r="T29" s="18"/>
      <c r="U29" s="267">
        <f t="shared" si="6"/>
        <v>787996.2437260246</v>
      </c>
      <c r="V29" s="18"/>
      <c r="W29" s="267">
        <f t="shared" si="7"/>
        <v>787996.2437260246</v>
      </c>
      <c r="X29" s="45">
        <v>250000</v>
      </c>
      <c r="Y29" s="263">
        <f t="shared" si="8"/>
        <v>537996.2437260246</v>
      </c>
      <c r="Z29" s="84" t="s">
        <v>175</v>
      </c>
      <c r="AA29" s="15">
        <f t="shared" si="23"/>
        <v>96401.56197379455</v>
      </c>
      <c r="AB29" s="267">
        <f t="shared" si="9"/>
        <v>441594.6817522301</v>
      </c>
      <c r="AC29" s="12">
        <v>2</v>
      </c>
      <c r="AD29" s="12" t="s">
        <v>241</v>
      </c>
    </row>
    <row r="30" spans="1:30" ht="12.75">
      <c r="A30" s="12">
        <f t="shared" si="10"/>
        <v>25</v>
      </c>
      <c r="B30" s="12">
        <f t="shared" si="10"/>
        <v>55</v>
      </c>
      <c r="C30" s="221">
        <f t="shared" si="11"/>
        <v>18479592.04193954</v>
      </c>
      <c r="D30" s="246"/>
      <c r="E30" s="249">
        <f t="shared" si="21"/>
        <v>0.1</v>
      </c>
      <c r="F30" s="248">
        <f t="shared" si="12"/>
        <v>20327551.2461335</v>
      </c>
      <c r="G30" s="209">
        <f t="shared" si="13"/>
        <v>2538830.3114277637</v>
      </c>
      <c r="H30" s="210">
        <f t="shared" si="19"/>
        <v>0.07</v>
      </c>
      <c r="I30" s="211">
        <f t="shared" si="14"/>
        <v>2716548.433227707</v>
      </c>
      <c r="J30" s="221">
        <f t="shared" si="0"/>
        <v>17611002.812905792</v>
      </c>
      <c r="K30" s="255">
        <f t="shared" si="1"/>
        <v>1467583.5677421493</v>
      </c>
      <c r="L30" s="221"/>
      <c r="M30" s="259">
        <f t="shared" si="2"/>
        <v>1467583.5677421493</v>
      </c>
      <c r="N30" s="221">
        <v>580000</v>
      </c>
      <c r="O30" s="259">
        <f t="shared" si="3"/>
        <v>887583.5677421493</v>
      </c>
      <c r="P30" s="282">
        <f>+P29</f>
        <v>540400.5671499567</v>
      </c>
      <c r="Q30" s="259">
        <f t="shared" si="4"/>
        <v>347183.00059219263</v>
      </c>
      <c r="R30" s="44"/>
      <c r="S30" s="263">
        <f t="shared" si="5"/>
        <v>347183.00059219263</v>
      </c>
      <c r="T30" s="18"/>
      <c r="U30" s="267">
        <f t="shared" si="6"/>
        <v>347183.00059219263</v>
      </c>
      <c r="V30" s="18"/>
      <c r="W30" s="267">
        <f t="shared" si="7"/>
        <v>347183.00059219263</v>
      </c>
      <c r="X30" s="45">
        <v>250000</v>
      </c>
      <c r="Y30" s="263">
        <f t="shared" si="8"/>
        <v>97183.00059219263</v>
      </c>
      <c r="Z30" s="84" t="s">
        <v>175</v>
      </c>
      <c r="AA30" s="16">
        <f t="shared" si="23"/>
        <v>96401.56197379455</v>
      </c>
      <c r="AB30" s="267">
        <f t="shared" si="9"/>
        <v>781.4386183980823</v>
      </c>
      <c r="AD30" s="12" t="s">
        <v>242</v>
      </c>
    </row>
    <row r="31" spans="1:30" ht="12.75">
      <c r="A31" s="12">
        <f t="shared" si="10"/>
        <v>26</v>
      </c>
      <c r="B31" s="12">
        <f t="shared" si="10"/>
        <v>56</v>
      </c>
      <c r="C31" s="221">
        <f>+F30</f>
        <v>20327551.2461335</v>
      </c>
      <c r="D31" s="246"/>
      <c r="E31" s="249">
        <f t="shared" si="21"/>
        <v>0.1</v>
      </c>
      <c r="F31" s="248">
        <f>+C31*(1+E31)</f>
        <v>22360306.37074685</v>
      </c>
      <c r="G31" s="209">
        <f>+I30</f>
        <v>2716548.433227707</v>
      </c>
      <c r="H31" s="210">
        <f t="shared" si="19"/>
        <v>0.07</v>
      </c>
      <c r="I31" s="211">
        <f>+G31*(1+H31)</f>
        <v>2906706.823553647</v>
      </c>
      <c r="J31" s="221">
        <f>+F31-I31</f>
        <v>19453599.547193203</v>
      </c>
      <c r="K31" s="255">
        <f t="shared" si="1"/>
        <v>1621133.2955994336</v>
      </c>
      <c r="L31" s="221"/>
      <c r="M31" s="259">
        <f>+K31-L31</f>
        <v>1621133.2955994336</v>
      </c>
      <c r="N31" s="221">
        <v>730000</v>
      </c>
      <c r="O31" s="259">
        <f>+M31-N31</f>
        <v>891133.2955994336</v>
      </c>
      <c r="P31" s="282">
        <f>+P30</f>
        <v>540400.5671499567</v>
      </c>
      <c r="Q31" s="259">
        <f>+O31-P31</f>
        <v>350732.7284494769</v>
      </c>
      <c r="R31" s="44"/>
      <c r="S31" s="263">
        <f>+Q31-R31</f>
        <v>350732.7284494769</v>
      </c>
      <c r="T31" s="18"/>
      <c r="U31" s="267">
        <f>+S31-T31</f>
        <v>350732.7284494769</v>
      </c>
      <c r="V31" s="18"/>
      <c r="W31" s="267">
        <f>+U31-V31</f>
        <v>350732.7284494769</v>
      </c>
      <c r="X31" s="45">
        <f>+X30</f>
        <v>250000</v>
      </c>
      <c r="Y31" s="263">
        <f t="shared" si="8"/>
        <v>100732.72844947688</v>
      </c>
      <c r="Z31" s="84" t="s">
        <v>176</v>
      </c>
      <c r="AA31" s="15">
        <f t="shared" si="23"/>
        <v>96401.56197379455</v>
      </c>
      <c r="AB31" s="267">
        <f t="shared" si="9"/>
        <v>4331.16647568233</v>
      </c>
      <c r="AC31" s="12">
        <v>3</v>
      </c>
      <c r="AD31" s="12" t="s">
        <v>241</v>
      </c>
    </row>
    <row r="32" spans="1:30" ht="12.75">
      <c r="A32" s="12">
        <f t="shared" si="10"/>
        <v>27</v>
      </c>
      <c r="B32" s="12">
        <f t="shared" si="10"/>
        <v>57</v>
      </c>
      <c r="C32" s="221">
        <f>+F31</f>
        <v>22360306.37074685</v>
      </c>
      <c r="D32" s="246"/>
      <c r="E32" s="249">
        <f t="shared" si="21"/>
        <v>0.1</v>
      </c>
      <c r="F32" s="248">
        <f>+C32*(1+E32)</f>
        <v>24596337.007821538</v>
      </c>
      <c r="G32" s="209">
        <f>+I31</f>
        <v>2906706.823553647</v>
      </c>
      <c r="H32" s="210">
        <f t="shared" si="19"/>
        <v>0.07</v>
      </c>
      <c r="I32" s="211">
        <f>+G32*(1+H32)</f>
        <v>3110176.3012024025</v>
      </c>
      <c r="J32" s="221">
        <f>+F32-I32</f>
        <v>21486160.706619136</v>
      </c>
      <c r="K32" s="255">
        <f t="shared" si="1"/>
        <v>1790513.3922182613</v>
      </c>
      <c r="L32" s="221"/>
      <c r="M32" s="259">
        <f>+K32-L32</f>
        <v>1790513.3922182613</v>
      </c>
      <c r="N32" s="221">
        <f>+F90</f>
        <v>1202083.9437411537</v>
      </c>
      <c r="O32" s="259">
        <f>+M32-N32</f>
        <v>588429.4484771076</v>
      </c>
      <c r="P32" s="17"/>
      <c r="Q32" s="259">
        <f>+O32-P32</f>
        <v>588429.4484771076</v>
      </c>
      <c r="R32" s="44"/>
      <c r="S32" s="263">
        <f>+Q32-R32</f>
        <v>588429.4484771076</v>
      </c>
      <c r="T32" s="18"/>
      <c r="U32" s="267">
        <f>+S32-T32</f>
        <v>588429.4484771076</v>
      </c>
      <c r="V32" s="18"/>
      <c r="W32" s="267">
        <f>+U32-V32</f>
        <v>588429.4484771076</v>
      </c>
      <c r="X32" s="45">
        <v>350000</v>
      </c>
      <c r="Y32" s="263">
        <f t="shared" si="8"/>
        <v>238429.44847710757</v>
      </c>
      <c r="Z32" s="84" t="s">
        <v>176</v>
      </c>
      <c r="AA32" s="16">
        <f t="shared" si="23"/>
        <v>96401.56197379455</v>
      </c>
      <c r="AB32" s="267">
        <f t="shared" si="9"/>
        <v>142027.88650331303</v>
      </c>
      <c r="AD32" s="12" t="s">
        <v>242</v>
      </c>
    </row>
    <row r="33" spans="1:30" ht="12.75">
      <c r="A33" s="12">
        <f t="shared" si="10"/>
        <v>28</v>
      </c>
      <c r="B33" s="12">
        <f t="shared" si="10"/>
        <v>58</v>
      </c>
      <c r="C33" s="221">
        <f>+F32</f>
        <v>24596337.007821538</v>
      </c>
      <c r="D33" s="246"/>
      <c r="E33" s="249">
        <f t="shared" si="21"/>
        <v>0.1</v>
      </c>
      <c r="F33" s="248">
        <f>+C33*(1+E33)</f>
        <v>27055970.708603695</v>
      </c>
      <c r="G33" s="209">
        <f>+I32</f>
        <v>3110176.3012024025</v>
      </c>
      <c r="H33" s="210">
        <f t="shared" si="19"/>
        <v>0.07</v>
      </c>
      <c r="I33" s="211">
        <f>+G33*(1+H33)</f>
        <v>3327888.6422865707</v>
      </c>
      <c r="J33" s="221">
        <f>+F33-I33</f>
        <v>23728082.066317126</v>
      </c>
      <c r="K33" s="255">
        <f t="shared" si="1"/>
        <v>1977340.172193094</v>
      </c>
      <c r="L33" s="219">
        <f>+M51</f>
        <v>327765.31071090145</v>
      </c>
      <c r="M33" s="259">
        <f>+K33-L33</f>
        <v>1649574.8614821925</v>
      </c>
      <c r="N33" s="221">
        <f>+N32</f>
        <v>1202083.9437411537</v>
      </c>
      <c r="O33" s="259">
        <f>+M33-N33</f>
        <v>447490.91774103884</v>
      </c>
      <c r="P33" s="18"/>
      <c r="Q33" s="259">
        <f>+O33-P33</f>
        <v>447490.91774103884</v>
      </c>
      <c r="R33" s="44"/>
      <c r="S33" s="263">
        <f>+Q33-R33</f>
        <v>447490.91774103884</v>
      </c>
      <c r="T33" s="18"/>
      <c r="U33" s="267">
        <f>+S33-T33</f>
        <v>447490.91774103884</v>
      </c>
      <c r="V33" s="18"/>
      <c r="W33" s="267">
        <f>+U33-V33</f>
        <v>447490.91774103884</v>
      </c>
      <c r="X33" s="45">
        <v>350000</v>
      </c>
      <c r="Y33" s="263">
        <f t="shared" si="8"/>
        <v>97490.91774103884</v>
      </c>
      <c r="Z33" s="84" t="s">
        <v>177</v>
      </c>
      <c r="AA33" s="15">
        <f t="shared" si="23"/>
        <v>96401.56197379455</v>
      </c>
      <c r="AB33" s="267">
        <f t="shared" si="9"/>
        <v>1089.355767244284</v>
      </c>
      <c r="AC33" s="12">
        <v>4</v>
      </c>
      <c r="AD33" s="12" t="s">
        <v>241</v>
      </c>
    </row>
    <row r="34" spans="1:30" ht="12.75">
      <c r="A34" s="12">
        <f t="shared" si="10"/>
        <v>29</v>
      </c>
      <c r="B34" s="12">
        <f t="shared" si="10"/>
        <v>59</v>
      </c>
      <c r="C34" s="225">
        <f>+F33</f>
        <v>27055970.708603695</v>
      </c>
      <c r="D34" s="250"/>
      <c r="E34" s="251">
        <f t="shared" si="21"/>
        <v>0.1</v>
      </c>
      <c r="F34" s="252">
        <f>+C34*(1+E34)</f>
        <v>29761567.779464066</v>
      </c>
      <c r="G34" s="212">
        <f>+I33</f>
        <v>3327888.6422865707</v>
      </c>
      <c r="H34" s="213">
        <f t="shared" si="19"/>
        <v>0.07</v>
      </c>
      <c r="I34" s="214">
        <f>+G34*(1+H34)</f>
        <v>3560840.847246631</v>
      </c>
      <c r="J34" s="225">
        <f>+F34-I34</f>
        <v>26200726.932217434</v>
      </c>
      <c r="K34" s="256">
        <f t="shared" si="1"/>
        <v>2183393.9110181197</v>
      </c>
      <c r="L34" s="220">
        <f>+L33</f>
        <v>327765.31071090145</v>
      </c>
      <c r="M34" s="260">
        <f>+K34-L34</f>
        <v>1855628.6003072183</v>
      </c>
      <c r="N34" s="225">
        <f>+N33</f>
        <v>1202083.9437411537</v>
      </c>
      <c r="O34" s="260">
        <f>+M34-N34</f>
        <v>653544.6565660646</v>
      </c>
      <c r="P34" s="32"/>
      <c r="Q34" s="260">
        <f>+O34-P34</f>
        <v>653544.6565660646</v>
      </c>
      <c r="R34" s="46"/>
      <c r="S34" s="264">
        <f>+Q34-R34</f>
        <v>653544.6565660646</v>
      </c>
      <c r="T34" s="32"/>
      <c r="U34" s="268">
        <f>+S34-T34</f>
        <v>653544.6565660646</v>
      </c>
      <c r="V34" s="32"/>
      <c r="W34" s="268">
        <f>+U34-V34</f>
        <v>653544.6565660646</v>
      </c>
      <c r="X34" s="53">
        <v>500000</v>
      </c>
      <c r="Y34" s="264">
        <f t="shared" si="8"/>
        <v>153544.65656606457</v>
      </c>
      <c r="Z34" s="84" t="s">
        <v>177</v>
      </c>
      <c r="AA34" s="16">
        <f t="shared" si="23"/>
        <v>96401.56197379455</v>
      </c>
      <c r="AB34" s="268">
        <f t="shared" si="9"/>
        <v>57143.09459227002</v>
      </c>
      <c r="AD34" s="12" t="s">
        <v>242</v>
      </c>
    </row>
    <row r="35" ht="12.75">
      <c r="AA35" s="17"/>
    </row>
    <row r="36" ht="12.75">
      <c r="AA36" s="18"/>
    </row>
    <row r="37" spans="1:27" ht="12.75">
      <c r="A37" s="13" t="s">
        <v>36</v>
      </c>
      <c r="B37" s="13"/>
      <c r="AA37" s="18"/>
    </row>
    <row r="38" spans="1:27" ht="12.7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AA38" s="18"/>
    </row>
    <row r="39" spans="1:27" ht="12.75">
      <c r="A39" s="65" t="s">
        <v>37</v>
      </c>
      <c r="B39" s="66"/>
      <c r="C39" s="18"/>
      <c r="D39" s="18" t="s">
        <v>218</v>
      </c>
      <c r="E39" s="18"/>
      <c r="F39" s="18"/>
      <c r="G39" s="18"/>
      <c r="H39" s="18"/>
      <c r="I39" s="18"/>
      <c r="J39" s="18"/>
      <c r="K39" s="18"/>
      <c r="L39" s="18"/>
      <c r="M39" s="60"/>
      <c r="AA39" s="18"/>
    </row>
    <row r="40" spans="1:27" ht="12.75">
      <c r="A40" s="4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60"/>
      <c r="AA40" s="18"/>
    </row>
    <row r="41" spans="1:27" ht="12.75">
      <c r="A41" s="65" t="s">
        <v>38</v>
      </c>
      <c r="B41" s="66"/>
      <c r="C41" s="18"/>
      <c r="D41" s="18" t="s">
        <v>219</v>
      </c>
      <c r="E41" s="18"/>
      <c r="F41" s="18"/>
      <c r="G41" s="18"/>
      <c r="H41" s="18"/>
      <c r="I41" s="18"/>
      <c r="J41" s="18"/>
      <c r="K41" s="18"/>
      <c r="L41" s="18"/>
      <c r="M41" s="60"/>
      <c r="AA41" s="18"/>
    </row>
    <row r="42" spans="1:13" ht="12.75">
      <c r="A42" s="46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61"/>
    </row>
    <row r="43" spans="1:13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2" ht="12.75">
      <c r="A44" s="14" t="s">
        <v>39</v>
      </c>
      <c r="B44" s="14"/>
    </row>
    <row r="45" spans="1:13" ht="12.75">
      <c r="A45" s="94"/>
      <c r="B45" s="95"/>
      <c r="C45" s="34"/>
      <c r="D45" s="34"/>
      <c r="E45" s="34"/>
      <c r="F45" s="34"/>
      <c r="G45" s="96" t="s">
        <v>161</v>
      </c>
      <c r="H45" s="34"/>
      <c r="I45" s="34"/>
      <c r="J45" s="34"/>
      <c r="K45" s="96" t="s">
        <v>162</v>
      </c>
      <c r="L45" s="97" t="s">
        <v>236</v>
      </c>
      <c r="M45" s="97" t="s">
        <v>237</v>
      </c>
    </row>
    <row r="46" spans="1:15" ht="15">
      <c r="A46" s="25" t="s">
        <v>68</v>
      </c>
      <c r="B46" s="26"/>
      <c r="C46" s="26"/>
      <c r="D46" s="26" t="s">
        <v>67</v>
      </c>
      <c r="E46" s="26"/>
      <c r="F46" s="26"/>
      <c r="G46" s="98">
        <v>575000</v>
      </c>
      <c r="H46" s="58"/>
      <c r="I46" s="26" t="s">
        <v>69</v>
      </c>
      <c r="J46" s="26"/>
      <c r="K46" s="98">
        <v>1600000</v>
      </c>
      <c r="L46" s="98">
        <v>6000000</v>
      </c>
      <c r="M46" s="98">
        <v>8500000</v>
      </c>
      <c r="O46" s="281" t="s">
        <v>284</v>
      </c>
    </row>
    <row r="47" spans="1:15" ht="15">
      <c r="A47" s="44"/>
      <c r="B47" s="18"/>
      <c r="C47" s="18"/>
      <c r="D47" s="18"/>
      <c r="E47" s="18"/>
      <c r="F47" s="18"/>
      <c r="G47" s="18"/>
      <c r="H47" s="59"/>
      <c r="I47" s="18"/>
      <c r="J47" s="18"/>
      <c r="K47" s="18"/>
      <c r="L47" s="18"/>
      <c r="M47" s="18"/>
      <c r="O47" s="281" t="s">
        <v>285</v>
      </c>
    </row>
    <row r="48" spans="1:15" ht="15">
      <c r="A48" s="44"/>
      <c r="B48" s="18"/>
      <c r="C48" s="18"/>
      <c r="D48" s="18" t="s">
        <v>40</v>
      </c>
      <c r="E48" s="18"/>
      <c r="F48" s="18"/>
      <c r="G48" s="18">
        <v>24</v>
      </c>
      <c r="H48" s="59"/>
      <c r="I48" s="18" t="s">
        <v>160</v>
      </c>
      <c r="J48" s="18"/>
      <c r="K48" s="18">
        <v>36</v>
      </c>
      <c r="L48" s="18">
        <f>+K48</f>
        <v>36</v>
      </c>
      <c r="M48" s="18">
        <v>24</v>
      </c>
      <c r="O48" s="281" t="s">
        <v>286</v>
      </c>
    </row>
    <row r="49" spans="1:15" ht="15">
      <c r="A49" s="44"/>
      <c r="B49" s="18"/>
      <c r="C49" s="18"/>
      <c r="D49" s="18" t="s">
        <v>94</v>
      </c>
      <c r="E49" s="18"/>
      <c r="F49" s="18"/>
      <c r="G49" s="39">
        <v>0.08</v>
      </c>
      <c r="H49" s="59"/>
      <c r="I49" s="18" t="s">
        <v>94</v>
      </c>
      <c r="J49" s="18"/>
      <c r="K49" s="39">
        <f>+G49</f>
        <v>0.08</v>
      </c>
      <c r="L49" s="39">
        <f>+K49</f>
        <v>0.08</v>
      </c>
      <c r="M49" s="39">
        <f>+L49</f>
        <v>0.08</v>
      </c>
      <c r="O49" s="281" t="s">
        <v>287</v>
      </c>
    </row>
    <row r="50" spans="1:13" ht="12.75" hidden="1">
      <c r="A50" s="44"/>
      <c r="B50" s="18"/>
      <c r="C50" s="18"/>
      <c r="D50" s="18" t="s">
        <v>41</v>
      </c>
      <c r="E50" s="18"/>
      <c r="F50" s="18"/>
      <c r="G50" s="18"/>
      <c r="H50" s="59"/>
      <c r="I50" s="18" t="s">
        <v>62</v>
      </c>
      <c r="J50" s="18"/>
      <c r="K50" s="18"/>
      <c r="L50" s="18"/>
      <c r="M50" s="18"/>
    </row>
    <row r="51" spans="1:13" ht="12.75">
      <c r="A51" s="44"/>
      <c r="B51" s="18"/>
      <c r="C51" s="18"/>
      <c r="D51" s="18" t="s">
        <v>267</v>
      </c>
      <c r="E51" s="18"/>
      <c r="F51" s="18"/>
      <c r="G51" s="215">
        <f>+(G46*G49/12)/((1+G49/12)^G48-1)</f>
        <v>22172.359253972747</v>
      </c>
      <c r="H51" s="59"/>
      <c r="I51" s="18" t="s">
        <v>267</v>
      </c>
      <c r="J51" s="18"/>
      <c r="K51" s="215">
        <f>+(K46*K49/12)/((1+K49/12)^K48-1)</f>
        <v>39471.51807162306</v>
      </c>
      <c r="L51" s="215">
        <f>+(L46*L49/12)/((1+L49/12)^L48-1)</f>
        <v>148018.19276858648</v>
      </c>
      <c r="M51" s="215">
        <f>+(M46*M49/12)/((1+M49/12)^M48-1)</f>
        <v>327765.31071090145</v>
      </c>
    </row>
    <row r="52" spans="1:13" ht="12.75">
      <c r="A52" s="44"/>
      <c r="B52" s="18"/>
      <c r="C52" s="18"/>
      <c r="D52" s="18"/>
      <c r="E52" s="18"/>
      <c r="F52" s="18"/>
      <c r="G52" s="91">
        <f>-FV(G49/12,+G48,G51,0)</f>
        <v>575000</v>
      </c>
      <c r="H52" s="59"/>
      <c r="I52" s="18"/>
      <c r="J52" s="18"/>
      <c r="K52" s="93">
        <f>-FV(K49/12,+K48,K51,0)</f>
        <v>1599999.9999999998</v>
      </c>
      <c r="L52" s="93">
        <f>-FV(L49/12,+L48,L51,0)</f>
        <v>5999999.999999999</v>
      </c>
      <c r="M52" s="93">
        <f>-FV(M49/12,+M48,M51,0)</f>
        <v>8499999.999999998</v>
      </c>
    </row>
    <row r="53" spans="1:13" ht="12.75">
      <c r="A53" s="44"/>
      <c r="B53" s="18"/>
      <c r="C53" s="18"/>
      <c r="D53" s="18"/>
      <c r="E53" s="18"/>
      <c r="F53" s="18"/>
      <c r="G53" s="91"/>
      <c r="H53" s="59"/>
      <c r="I53" s="18"/>
      <c r="J53" s="18"/>
      <c r="K53" s="216"/>
      <c r="L53" s="216"/>
      <c r="M53" s="216"/>
    </row>
    <row r="54" spans="1:13" ht="12.75">
      <c r="A54" s="44"/>
      <c r="B54" s="18"/>
      <c r="C54" s="18"/>
      <c r="D54" s="284" t="s">
        <v>297</v>
      </c>
      <c r="E54" s="18"/>
      <c r="F54" s="18"/>
      <c r="G54" s="91"/>
      <c r="H54" s="59"/>
      <c r="I54" s="18"/>
      <c r="J54" s="18"/>
      <c r="K54" s="216"/>
      <c r="L54" s="216"/>
      <c r="M54" s="216"/>
    </row>
    <row r="55" spans="1:13" ht="12.75">
      <c r="A55" s="46"/>
      <c r="B55" s="32"/>
      <c r="C55" s="32"/>
      <c r="D55" s="32"/>
      <c r="E55" s="32"/>
      <c r="F55" s="32"/>
      <c r="G55" s="32"/>
      <c r="H55" s="62"/>
      <c r="I55" s="32"/>
      <c r="J55" s="32"/>
      <c r="K55" s="32"/>
      <c r="L55" s="61"/>
      <c r="M55" s="61"/>
    </row>
    <row r="56" spans="1:13" ht="12.75">
      <c r="A56" s="44"/>
      <c r="B56" s="18"/>
      <c r="C56" s="18"/>
      <c r="D56" s="18"/>
      <c r="E56" s="18"/>
      <c r="F56" s="18"/>
      <c r="G56" s="18"/>
      <c r="H56" s="70"/>
      <c r="I56" s="18"/>
      <c r="J56" s="18"/>
      <c r="K56" s="18"/>
      <c r="L56" s="18"/>
      <c r="M56" s="60"/>
    </row>
    <row r="57" spans="1:13" ht="12.75">
      <c r="A57" s="44" t="s">
        <v>46</v>
      </c>
      <c r="B57" s="18"/>
      <c r="C57" s="18"/>
      <c r="D57" s="18"/>
      <c r="E57" s="18"/>
      <c r="F57" s="18"/>
      <c r="G57" s="18"/>
      <c r="H57" s="70"/>
      <c r="I57" s="18"/>
      <c r="J57" s="18"/>
      <c r="K57" s="18"/>
      <c r="L57" s="18"/>
      <c r="M57" s="60"/>
    </row>
    <row r="58" spans="1:13" ht="12.75">
      <c r="A58" s="18"/>
      <c r="B58" s="18"/>
      <c r="C58" s="18"/>
      <c r="D58" s="18" t="s">
        <v>232</v>
      </c>
      <c r="E58" s="18"/>
      <c r="F58" s="18"/>
      <c r="G58" s="216">
        <v>12500000</v>
      </c>
      <c r="H58" s="70"/>
      <c r="I58" s="18"/>
      <c r="J58" s="18"/>
      <c r="K58" s="18"/>
      <c r="L58" s="18"/>
      <c r="M58" s="18"/>
    </row>
    <row r="59" spans="1:13" ht="12.75">
      <c r="A59" s="18"/>
      <c r="B59" s="18"/>
      <c r="C59" s="18"/>
      <c r="D59" s="18" t="s">
        <v>234</v>
      </c>
      <c r="E59" s="18"/>
      <c r="F59" s="18"/>
      <c r="G59" s="217">
        <v>3500000</v>
      </c>
      <c r="H59" s="70"/>
      <c r="I59" s="18"/>
      <c r="J59" s="18"/>
      <c r="K59" s="18"/>
      <c r="L59" s="18"/>
      <c r="M59" s="18"/>
    </row>
    <row r="60" spans="1:13" ht="12.75">
      <c r="A60" s="18"/>
      <c r="B60" s="18"/>
      <c r="C60" s="18"/>
      <c r="D60" s="18" t="s">
        <v>233</v>
      </c>
      <c r="E60" s="18"/>
      <c r="F60" s="18"/>
      <c r="G60" s="218">
        <f>+G58-G59</f>
        <v>9000000</v>
      </c>
      <c r="H60" s="70"/>
      <c r="I60" s="18"/>
      <c r="J60" s="18"/>
      <c r="K60" s="18"/>
      <c r="L60" s="18"/>
      <c r="M60" s="18"/>
    </row>
    <row r="61" spans="1:13" ht="12.75">
      <c r="A61" s="18"/>
      <c r="B61" s="18"/>
      <c r="C61" s="18"/>
      <c r="D61" s="18"/>
      <c r="E61" s="18"/>
      <c r="F61" s="18"/>
      <c r="G61" s="18"/>
      <c r="H61" s="70"/>
      <c r="I61" s="18"/>
      <c r="J61" s="18"/>
      <c r="K61" s="18"/>
      <c r="L61" s="18"/>
      <c r="M61" s="18"/>
    </row>
    <row r="62" spans="2:13" ht="12.75">
      <c r="B62" s="18"/>
      <c r="C62" s="18"/>
      <c r="D62" s="18"/>
      <c r="E62" s="18"/>
      <c r="F62" s="18"/>
      <c r="G62" s="18"/>
      <c r="H62" s="70"/>
      <c r="I62" s="18"/>
      <c r="J62" s="18"/>
      <c r="K62" s="18"/>
      <c r="L62" s="18"/>
      <c r="M62" s="60"/>
    </row>
    <row r="63" spans="1:13" ht="12.75">
      <c r="A63" s="44"/>
      <c r="B63" s="18"/>
      <c r="C63" s="18"/>
      <c r="D63" s="18" t="s">
        <v>97</v>
      </c>
      <c r="E63" s="18"/>
      <c r="F63" s="18"/>
      <c r="G63" s="39">
        <v>0.08</v>
      </c>
      <c r="H63" s="18"/>
      <c r="I63" s="18"/>
      <c r="J63" s="18"/>
      <c r="K63" s="18"/>
      <c r="L63" s="18"/>
      <c r="M63" s="60"/>
    </row>
    <row r="64" spans="1:13" ht="12.75">
      <c r="A64" s="44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60"/>
    </row>
    <row r="65" spans="1:13" ht="12.75">
      <c r="A65" s="44"/>
      <c r="B65" s="18"/>
      <c r="C65" s="18"/>
      <c r="D65" s="33" t="s">
        <v>42</v>
      </c>
      <c r="E65" s="34"/>
      <c r="F65" s="63" t="s">
        <v>31</v>
      </c>
      <c r="G65" s="63" t="s">
        <v>95</v>
      </c>
      <c r="H65" s="63" t="s">
        <v>288</v>
      </c>
      <c r="I65" s="63" t="s">
        <v>96</v>
      </c>
      <c r="J65" s="35" t="s">
        <v>50</v>
      </c>
      <c r="K65" s="18"/>
      <c r="L65" s="18"/>
      <c r="M65" s="60"/>
    </row>
    <row r="66" spans="1:13" ht="12.75">
      <c r="A66" s="44"/>
      <c r="B66" s="18"/>
      <c r="C66" s="18"/>
      <c r="D66" s="18" t="s">
        <v>47</v>
      </c>
      <c r="E66" s="18"/>
      <c r="F66" s="274">
        <f>+N6</f>
        <v>15327.640746027253</v>
      </c>
      <c r="G66" s="18">
        <v>12</v>
      </c>
      <c r="H66" s="216">
        <f>-FV(G$63/12,12,F66)</f>
        <v>190827.9933664435</v>
      </c>
      <c r="I66" s="18">
        <v>5</v>
      </c>
      <c r="J66" s="37">
        <f>-FV(G$63/12,12,F66)*(1+G$63)^I66</f>
        <v>280388.92849271966</v>
      </c>
      <c r="K66" s="18"/>
      <c r="L66" s="18"/>
      <c r="M66" s="93"/>
    </row>
    <row r="67" spans="1:13" ht="12.75">
      <c r="A67" s="44"/>
      <c r="B67" s="18"/>
      <c r="C67" s="18"/>
      <c r="D67" s="18" t="s">
        <v>48</v>
      </c>
      <c r="E67" s="18"/>
      <c r="F67" s="274">
        <f>+N7</f>
        <v>21702.64074602726</v>
      </c>
      <c r="G67" s="18">
        <v>12</v>
      </c>
      <c r="H67" s="216">
        <f>-FV(G$63/12,12,F67)</f>
        <v>270196.271751125</v>
      </c>
      <c r="I67" s="18">
        <v>4</v>
      </c>
      <c r="J67" s="37">
        <f>-FV(G$63/12,12,F67)*(1+G$63)^I67</f>
        <v>367599.0447505655</v>
      </c>
      <c r="K67" s="18"/>
      <c r="L67" s="18"/>
      <c r="M67" s="60"/>
    </row>
    <row r="68" spans="1:13" ht="12.75">
      <c r="A68" s="44"/>
      <c r="B68" s="18"/>
      <c r="C68" s="18"/>
      <c r="D68" s="18" t="s">
        <v>49</v>
      </c>
      <c r="E68" s="18"/>
      <c r="F68" s="215">
        <f>+((+J69-J66-J67)*G63/12)/((1+G63/12)^48-1)</f>
        <v>50612.534614531825</v>
      </c>
      <c r="G68" s="18">
        <v>48</v>
      </c>
      <c r="I68" s="18"/>
      <c r="J68" s="37">
        <f>-FV(1%,48,F68)</f>
        <v>3098631.3548622825</v>
      </c>
      <c r="K68" s="18"/>
      <c r="L68" s="18"/>
      <c r="M68" s="60"/>
    </row>
    <row r="69" spans="1:13" ht="13.5" thickBot="1">
      <c r="A69" s="44"/>
      <c r="B69" s="18"/>
      <c r="C69" s="18"/>
      <c r="D69" s="68" t="s">
        <v>51</v>
      </c>
      <c r="E69" s="68"/>
      <c r="F69" s="69"/>
      <c r="G69" s="68"/>
      <c r="H69" s="68"/>
      <c r="I69" s="68"/>
      <c r="J69" s="19">
        <f>+G59</f>
        <v>3500000</v>
      </c>
      <c r="K69" s="18"/>
      <c r="L69" s="18"/>
      <c r="M69" s="60"/>
    </row>
    <row r="70" spans="1:13" ht="13.5" thickTop="1">
      <c r="A70" s="44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60"/>
    </row>
    <row r="71" spans="1:13" ht="12.75">
      <c r="A71" s="44"/>
      <c r="B71" s="18"/>
      <c r="C71" s="18"/>
      <c r="D71" s="25" t="s">
        <v>76</v>
      </c>
      <c r="E71" s="26"/>
      <c r="F71" s="26"/>
      <c r="G71" s="27"/>
      <c r="H71" s="59"/>
      <c r="I71" s="25" t="s">
        <v>77</v>
      </c>
      <c r="J71" s="26"/>
      <c r="K71" s="26"/>
      <c r="L71" s="27"/>
      <c r="M71" s="60"/>
    </row>
    <row r="72" spans="1:13" ht="12.75">
      <c r="A72" s="44"/>
      <c r="B72" s="18"/>
      <c r="C72" s="18"/>
      <c r="D72" s="46"/>
      <c r="E72" s="32"/>
      <c r="F72" s="32"/>
      <c r="G72" s="61"/>
      <c r="H72" s="59"/>
      <c r="I72" s="46" t="s">
        <v>78</v>
      </c>
      <c r="J72" s="32"/>
      <c r="K72" s="32"/>
      <c r="L72" s="61"/>
      <c r="M72" s="60"/>
    </row>
    <row r="73" spans="1:13" ht="12.75">
      <c r="A73" s="44" t="s">
        <v>53</v>
      </c>
      <c r="B73" s="18"/>
      <c r="C73" s="18"/>
      <c r="D73" s="18" t="s">
        <v>54</v>
      </c>
      <c r="E73" s="18"/>
      <c r="F73" s="18"/>
      <c r="G73" s="162">
        <v>0.105</v>
      </c>
      <c r="H73" s="59"/>
      <c r="I73" s="18" t="s">
        <v>54</v>
      </c>
      <c r="J73" s="18"/>
      <c r="K73" s="18"/>
      <c r="L73" s="163">
        <f>+G73</f>
        <v>0.105</v>
      </c>
      <c r="M73" s="60"/>
    </row>
    <row r="74" spans="1:15" ht="15">
      <c r="A74" s="44"/>
      <c r="B74" s="18"/>
      <c r="C74" s="18"/>
      <c r="D74" s="18" t="s">
        <v>55</v>
      </c>
      <c r="E74" s="18"/>
      <c r="F74" s="18"/>
      <c r="G74" s="43">
        <f>+G60</f>
        <v>9000000</v>
      </c>
      <c r="H74" s="59"/>
      <c r="I74" s="18" t="s">
        <v>55</v>
      </c>
      <c r="J74" s="18"/>
      <c r="K74" s="18"/>
      <c r="L74" s="17">
        <v>35000000</v>
      </c>
      <c r="M74" s="60"/>
      <c r="O74" s="281" t="s">
        <v>289</v>
      </c>
    </row>
    <row r="75" spans="1:15" ht="15">
      <c r="A75" s="44"/>
      <c r="B75" s="18"/>
      <c r="C75" s="18"/>
      <c r="D75" s="18" t="s">
        <v>56</v>
      </c>
      <c r="E75" s="18"/>
      <c r="F75" s="18">
        <v>15</v>
      </c>
      <c r="G75" s="43">
        <v>180</v>
      </c>
      <c r="H75" s="59"/>
      <c r="I75" s="18" t="s">
        <v>56</v>
      </c>
      <c r="J75" s="18"/>
      <c r="K75" s="18">
        <v>8</v>
      </c>
      <c r="L75" s="17">
        <f>+K75*12</f>
        <v>96</v>
      </c>
      <c r="M75" s="60"/>
      <c r="O75" s="281" t="s">
        <v>290</v>
      </c>
    </row>
    <row r="76" spans="1:15" ht="15">
      <c r="A76" s="283" t="s">
        <v>291</v>
      </c>
      <c r="B76" s="18"/>
      <c r="C76" s="18"/>
      <c r="D76" s="18" t="s">
        <v>52</v>
      </c>
      <c r="E76" s="18"/>
      <c r="F76" s="18"/>
      <c r="G76" s="275">
        <f>-PMT(G73/12,G75,G74)</f>
        <v>99485.90313274493</v>
      </c>
      <c r="H76" s="59"/>
      <c r="I76" s="18" t="s">
        <v>52</v>
      </c>
      <c r="J76" s="18"/>
      <c r="K76" s="18"/>
      <c r="L76" s="215">
        <f>-PMT(L73/12,L75,L74)</f>
        <v>540400.5671499567</v>
      </c>
      <c r="M76" s="60"/>
      <c r="O76" s="283" t="s">
        <v>291</v>
      </c>
    </row>
    <row r="77" spans="1:15" ht="15">
      <c r="A77" s="44"/>
      <c r="B77" s="18"/>
      <c r="C77" s="18"/>
      <c r="D77" s="70" t="s">
        <v>103</v>
      </c>
      <c r="E77" s="18">
        <v>8</v>
      </c>
      <c r="F77" s="18">
        <f>+E77*12</f>
        <v>96</v>
      </c>
      <c r="G77" s="38">
        <f>+G74-amort!I101</f>
        <v>3099529.582523995</v>
      </c>
      <c r="H77" s="59"/>
      <c r="I77" s="18"/>
      <c r="J77" s="18"/>
      <c r="K77" s="18"/>
      <c r="L77" s="37"/>
      <c r="M77" s="60"/>
      <c r="O77" s="283" t="s">
        <v>292</v>
      </c>
    </row>
    <row r="78" spans="1:15" ht="15">
      <c r="A78" s="44"/>
      <c r="B78" s="18"/>
      <c r="C78" s="18"/>
      <c r="D78" s="70" t="s">
        <v>294</v>
      </c>
      <c r="E78" s="18"/>
      <c r="F78" s="18"/>
      <c r="G78" s="38">
        <f>+G74-G77</f>
        <v>5900470.417476005</v>
      </c>
      <c r="H78" s="59"/>
      <c r="I78" s="18"/>
      <c r="J78" s="18"/>
      <c r="K78" s="18"/>
      <c r="L78" s="37"/>
      <c r="M78" s="60"/>
      <c r="O78" s="283" t="s">
        <v>293</v>
      </c>
    </row>
    <row r="79" spans="1:13" ht="12.75">
      <c r="A79" s="44"/>
      <c r="B79" s="18"/>
      <c r="C79" s="18"/>
      <c r="D79" s="70" t="s">
        <v>295</v>
      </c>
      <c r="E79" s="18"/>
      <c r="F79" s="18"/>
      <c r="G79" s="38">
        <v>36</v>
      </c>
      <c r="H79" s="59"/>
      <c r="I79" s="18"/>
      <c r="J79" s="18"/>
      <c r="K79" s="18"/>
      <c r="L79" s="37"/>
      <c r="M79" s="60"/>
    </row>
    <row r="80" spans="1:13" ht="12.75">
      <c r="A80" s="46"/>
      <c r="B80" s="32"/>
      <c r="C80" s="32"/>
      <c r="D80" s="18" t="s">
        <v>52</v>
      </c>
      <c r="E80" s="32"/>
      <c r="F80" s="40"/>
      <c r="G80" s="275">
        <f>-PMT(G73/12,G79,G78)</f>
        <v>191779.70639508878</v>
      </c>
      <c r="H80" s="32"/>
      <c r="I80" s="32"/>
      <c r="J80" s="32"/>
      <c r="K80" s="32"/>
      <c r="L80" s="32"/>
      <c r="M80" s="61"/>
    </row>
    <row r="81" spans="1:13" ht="12.75">
      <c r="A81" s="44"/>
      <c r="B81" s="18"/>
      <c r="C81" s="18"/>
      <c r="D81" s="18"/>
      <c r="E81" s="18"/>
      <c r="F81" s="71"/>
      <c r="G81" s="71"/>
      <c r="H81" s="18"/>
      <c r="I81" s="18"/>
      <c r="J81" s="18"/>
      <c r="K81" s="18"/>
      <c r="L81" s="18"/>
      <c r="M81" s="60"/>
    </row>
    <row r="82" spans="1:13" ht="12.75">
      <c r="A82" s="44"/>
      <c r="B82" s="18"/>
      <c r="C82" s="18"/>
      <c r="D82" s="70" t="s">
        <v>296</v>
      </c>
      <c r="E82" s="18"/>
      <c r="F82" s="93"/>
      <c r="G82" s="93"/>
      <c r="H82" s="18"/>
      <c r="I82" s="18"/>
      <c r="J82" s="18"/>
      <c r="K82" s="18"/>
      <c r="L82" s="18"/>
      <c r="M82" s="60"/>
    </row>
    <row r="83" spans="1:13" ht="12.75">
      <c r="A83" s="44"/>
      <c r="B83" s="18"/>
      <c r="C83" s="18"/>
      <c r="D83" s="18"/>
      <c r="E83" s="18"/>
      <c r="F83" s="93"/>
      <c r="G83" s="93"/>
      <c r="H83" s="18"/>
      <c r="I83" s="18"/>
      <c r="J83" s="18"/>
      <c r="K83" s="18"/>
      <c r="L83" s="18"/>
      <c r="M83" s="60"/>
    </row>
    <row r="84" spans="1:13" ht="12.75">
      <c r="A84" s="44"/>
      <c r="B84" s="18"/>
      <c r="C84" s="18"/>
      <c r="D84" s="26" t="s">
        <v>158</v>
      </c>
      <c r="E84" s="18"/>
      <c r="F84" s="93"/>
      <c r="G84" s="93"/>
      <c r="H84" s="18"/>
      <c r="I84" s="18"/>
      <c r="J84" s="18"/>
      <c r="K84" s="18"/>
      <c r="L84" s="18"/>
      <c r="M84" s="60"/>
    </row>
    <row r="85" spans="1:13" ht="12.75">
      <c r="A85" s="44"/>
      <c r="B85" s="18"/>
      <c r="C85" s="18"/>
      <c r="D85" s="18" t="s">
        <v>97</v>
      </c>
      <c r="E85" s="18"/>
      <c r="F85" s="18"/>
      <c r="G85" s="39">
        <v>0.08</v>
      </c>
      <c r="H85" s="18"/>
      <c r="I85" s="18"/>
      <c r="J85" s="18"/>
      <c r="K85" s="18"/>
      <c r="L85" s="18"/>
      <c r="M85" s="60"/>
    </row>
    <row r="86" spans="1:13" ht="12.75">
      <c r="A86" s="44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60"/>
    </row>
    <row r="87" spans="1:15" ht="15">
      <c r="A87" s="44"/>
      <c r="B87" s="18"/>
      <c r="C87" s="18"/>
      <c r="D87" s="33" t="s">
        <v>42</v>
      </c>
      <c r="E87" s="34"/>
      <c r="F87" s="63" t="s">
        <v>31</v>
      </c>
      <c r="G87" s="63" t="s">
        <v>95</v>
      </c>
      <c r="H87" s="63" t="s">
        <v>288</v>
      </c>
      <c r="I87" s="63" t="s">
        <v>96</v>
      </c>
      <c r="J87" s="161" t="s">
        <v>50</v>
      </c>
      <c r="K87" s="18"/>
      <c r="L87" s="18"/>
      <c r="M87" s="60"/>
      <c r="O87" s="281" t="s">
        <v>303</v>
      </c>
    </row>
    <row r="88" spans="1:15" ht="15">
      <c r="A88" s="44"/>
      <c r="B88" s="18"/>
      <c r="C88" s="18"/>
      <c r="D88" s="18" t="s">
        <v>47</v>
      </c>
      <c r="E88" s="18"/>
      <c r="F88" s="274">
        <f>+N30</f>
        <v>580000</v>
      </c>
      <c r="G88" s="18">
        <v>12</v>
      </c>
      <c r="H88" s="216">
        <f>-FV(G$63/12,12,F88)</f>
        <v>7220957.092253369</v>
      </c>
      <c r="I88" s="18">
        <v>4</v>
      </c>
      <c r="J88" s="93">
        <f>-FV(G$63/12,12,F88)*(1+G$63)^I88</f>
        <v>9824032.404644413</v>
      </c>
      <c r="K88" s="18"/>
      <c r="L88" s="18"/>
      <c r="M88" s="60"/>
      <c r="O88" s="281" t="s">
        <v>298</v>
      </c>
    </row>
    <row r="89" spans="1:15" ht="15">
      <c r="A89" s="44"/>
      <c r="B89" s="18"/>
      <c r="C89" s="18"/>
      <c r="D89" s="18" t="s">
        <v>48</v>
      </c>
      <c r="E89" s="18"/>
      <c r="F89" s="274">
        <f>+N31</f>
        <v>730000</v>
      </c>
      <c r="G89" s="18">
        <v>12</v>
      </c>
      <c r="H89" s="216">
        <f>-FV(G$63/12,12,F89)</f>
        <v>9088445.995422345</v>
      </c>
      <c r="I89" s="18">
        <v>3</v>
      </c>
      <c r="J89" s="93">
        <f>-FV(G$63/12,12,F89)*(1+G$63)^I89</f>
        <v>11448824.481785474</v>
      </c>
      <c r="K89" s="18"/>
      <c r="L89" s="18"/>
      <c r="M89" s="60"/>
      <c r="O89" s="283" t="s">
        <v>299</v>
      </c>
    </row>
    <row r="90" spans="1:15" ht="15">
      <c r="A90" s="44"/>
      <c r="B90" s="18"/>
      <c r="C90" s="18"/>
      <c r="D90" s="18" t="s">
        <v>49</v>
      </c>
      <c r="E90" s="18"/>
      <c r="F90" s="215">
        <f>+((+J91-J88-J89)*G85/12)/((1+G85/12)^36-1)</f>
        <v>1202083.9437411537</v>
      </c>
      <c r="G90" s="18">
        <v>36</v>
      </c>
      <c r="I90" s="18"/>
      <c r="J90" s="93">
        <f>-FV(1%,48,F90)</f>
        <v>73594713.79217158</v>
      </c>
      <c r="K90" s="18"/>
      <c r="L90" s="18"/>
      <c r="M90" s="60"/>
      <c r="O90" s="283" t="s">
        <v>300</v>
      </c>
    </row>
    <row r="91" spans="1:15" ht="15.75" thickBot="1">
      <c r="A91" s="44"/>
      <c r="B91" s="18"/>
      <c r="C91" s="18"/>
      <c r="D91" s="68" t="s">
        <v>51</v>
      </c>
      <c r="E91" s="68"/>
      <c r="F91" s="69"/>
      <c r="G91" s="68"/>
      <c r="H91" s="68"/>
      <c r="I91" s="68"/>
      <c r="J91" s="19">
        <v>70000000</v>
      </c>
      <c r="K91" s="18"/>
      <c r="L91" s="18"/>
      <c r="M91" s="60"/>
      <c r="O91" s="283" t="s">
        <v>301</v>
      </c>
    </row>
    <row r="92" spans="1:15" ht="15.75" thickTop="1">
      <c r="A92" s="44"/>
      <c r="B92" s="18"/>
      <c r="C92" s="18"/>
      <c r="D92" s="18"/>
      <c r="E92" s="18"/>
      <c r="F92" s="93"/>
      <c r="G92" s="93"/>
      <c r="H92" s="18"/>
      <c r="I92" s="18"/>
      <c r="J92" s="18"/>
      <c r="K92" s="18"/>
      <c r="L92" s="18"/>
      <c r="M92" s="60"/>
      <c r="O92" s="283" t="s">
        <v>302</v>
      </c>
    </row>
    <row r="93" spans="1:13" ht="12.75">
      <c r="A93" s="44"/>
      <c r="B93" s="18"/>
      <c r="C93" s="18"/>
      <c r="D93" s="18"/>
      <c r="E93" s="18"/>
      <c r="F93" s="93"/>
      <c r="G93" s="93"/>
      <c r="H93" s="18"/>
      <c r="I93" s="18"/>
      <c r="J93" s="18"/>
      <c r="K93" s="18"/>
      <c r="L93" s="18"/>
      <c r="M93" s="60"/>
    </row>
    <row r="94" spans="1:13" ht="12.75">
      <c r="A94" s="44"/>
      <c r="B94" s="18"/>
      <c r="C94" s="18"/>
      <c r="D94" s="18"/>
      <c r="E94" s="18"/>
      <c r="F94" s="71"/>
      <c r="G94" s="71"/>
      <c r="H94" s="18"/>
      <c r="I94" s="18"/>
      <c r="J94" s="18"/>
      <c r="K94" s="18"/>
      <c r="L94" s="18"/>
      <c r="M94" s="60"/>
    </row>
    <row r="95" spans="1:13" ht="12.75">
      <c r="A95" s="44"/>
      <c r="B95" s="18"/>
      <c r="C95" s="18"/>
      <c r="D95" s="18"/>
      <c r="E95" s="18"/>
      <c r="F95" s="71"/>
      <c r="G95" s="71"/>
      <c r="H95" s="18"/>
      <c r="I95" s="18"/>
      <c r="J95" s="18"/>
      <c r="K95" s="18"/>
      <c r="L95" s="18"/>
      <c r="M95" s="60"/>
    </row>
    <row r="96" spans="1:13" ht="12.75">
      <c r="A96" s="25"/>
      <c r="B96" s="26"/>
      <c r="C96" s="26"/>
      <c r="D96" s="26"/>
      <c r="E96" s="26"/>
      <c r="F96" s="64"/>
      <c r="G96" s="26"/>
      <c r="H96" s="26"/>
      <c r="I96" s="26"/>
      <c r="J96" s="26"/>
      <c r="K96" s="26"/>
      <c r="L96" s="26"/>
      <c r="M96" s="27"/>
    </row>
    <row r="97" spans="1:13" ht="12.75">
      <c r="A97" s="44" t="s">
        <v>70</v>
      </c>
      <c r="B97" s="18"/>
      <c r="C97" s="18"/>
      <c r="D97" s="33" t="s">
        <v>74</v>
      </c>
      <c r="E97" s="34"/>
      <c r="F97" s="34"/>
      <c r="G97" s="186" t="s">
        <v>253</v>
      </c>
      <c r="H97" s="59"/>
      <c r="I97" s="34"/>
      <c r="J97" s="34"/>
      <c r="M97" s="18"/>
    </row>
    <row r="98" spans="1:13" ht="12.75">
      <c r="A98" s="44"/>
      <c r="B98" s="18"/>
      <c r="C98" s="18"/>
      <c r="D98" s="18" t="s">
        <v>31</v>
      </c>
      <c r="E98" s="18"/>
      <c r="F98" s="18"/>
      <c r="G98" s="37">
        <v>4000000</v>
      </c>
      <c r="H98" s="59"/>
      <c r="I98" s="18"/>
      <c r="J98" s="37">
        <v>5000000</v>
      </c>
      <c r="M98" s="60"/>
    </row>
    <row r="99" spans="1:13" ht="12.75">
      <c r="A99" s="44"/>
      <c r="B99" s="18"/>
      <c r="C99" s="18"/>
      <c r="D99" s="18" t="s">
        <v>57</v>
      </c>
      <c r="E99" s="18"/>
      <c r="F99" s="18"/>
      <c r="G99" s="18"/>
      <c r="H99" s="59"/>
      <c r="I99" s="18"/>
      <c r="J99" s="18"/>
      <c r="M99" s="60"/>
    </row>
    <row r="100" spans="1:13" ht="12.75">
      <c r="A100" s="44"/>
      <c r="B100" s="18"/>
      <c r="C100" s="18"/>
      <c r="D100" s="18" t="s">
        <v>5</v>
      </c>
      <c r="E100" s="18"/>
      <c r="F100" s="18"/>
      <c r="G100" s="39">
        <v>0.09</v>
      </c>
      <c r="H100" s="59"/>
      <c r="I100" s="18"/>
      <c r="J100" s="39">
        <f>+G100</f>
        <v>0.09</v>
      </c>
      <c r="M100" s="60"/>
    </row>
    <row r="101" spans="1:13" ht="12.75">
      <c r="A101" s="44"/>
      <c r="B101" s="18"/>
      <c r="C101" s="18"/>
      <c r="D101" s="18" t="s">
        <v>269</v>
      </c>
      <c r="E101" s="18"/>
      <c r="F101" s="18"/>
      <c r="G101" s="18"/>
      <c r="H101" s="59"/>
      <c r="I101" s="18"/>
      <c r="J101" s="18"/>
      <c r="M101" s="60"/>
    </row>
    <row r="102" spans="1:13" ht="12.75">
      <c r="A102" s="44"/>
      <c r="B102" s="18"/>
      <c r="C102" s="18"/>
      <c r="D102" s="18" t="s">
        <v>268</v>
      </c>
      <c r="F102" s="18">
        <v>11</v>
      </c>
      <c r="G102" s="18">
        <f>+F102*12</f>
        <v>132</v>
      </c>
      <c r="H102" s="59"/>
      <c r="I102" s="18">
        <v>12</v>
      </c>
      <c r="J102" s="18">
        <f>+I102*12</f>
        <v>144</v>
      </c>
      <c r="M102" s="60"/>
    </row>
    <row r="103" spans="1:13" ht="12.75">
      <c r="A103" s="44"/>
      <c r="B103" s="18"/>
      <c r="C103" s="18"/>
      <c r="D103" s="18" t="s">
        <v>14</v>
      </c>
      <c r="E103" s="18"/>
      <c r="F103" s="18"/>
      <c r="G103" s="215">
        <f>+(G98*G100/12)/((1+G100/12)^G102-1)</f>
        <v>17843.215794862</v>
      </c>
      <c r="H103" s="59"/>
      <c r="I103" s="18"/>
      <c r="J103" s="215">
        <f>+(J98*J100/12)/((1+J100/12)^J102-1)</f>
        <v>19401.534838019943</v>
      </c>
      <c r="M103" s="60"/>
    </row>
    <row r="104" spans="1:13" ht="12.75">
      <c r="A104" s="46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61"/>
    </row>
    <row r="105" spans="1:13" ht="12.75">
      <c r="A105" s="44"/>
      <c r="B105" s="18"/>
      <c r="C105" s="18"/>
      <c r="D105" s="18"/>
      <c r="E105" s="18"/>
      <c r="F105" s="18"/>
      <c r="G105" s="103"/>
      <c r="H105" s="104"/>
      <c r="I105" s="18"/>
      <c r="L105" s="18"/>
      <c r="M105" s="60"/>
    </row>
    <row r="106" spans="1:13" ht="12.75">
      <c r="A106" s="44"/>
      <c r="B106" s="18"/>
      <c r="C106" s="18"/>
      <c r="D106" s="25" t="s">
        <v>112</v>
      </c>
      <c r="E106" s="26"/>
      <c r="F106" s="164"/>
      <c r="G106" s="99" t="s">
        <v>113</v>
      </c>
      <c r="H106" s="99" t="s">
        <v>114</v>
      </c>
      <c r="I106" s="99" t="s">
        <v>115</v>
      </c>
      <c r="J106" s="99"/>
      <c r="K106" s="168" t="s">
        <v>51</v>
      </c>
      <c r="L106" s="26"/>
      <c r="M106" s="27"/>
    </row>
    <row r="107" spans="1:13" ht="12.75">
      <c r="A107" s="44"/>
      <c r="B107" s="18"/>
      <c r="C107" s="18"/>
      <c r="D107" s="44"/>
      <c r="E107" s="18"/>
      <c r="F107" s="166"/>
      <c r="G107" s="102" t="s">
        <v>163</v>
      </c>
      <c r="H107" s="102" t="s">
        <v>164</v>
      </c>
      <c r="I107" s="99" t="s">
        <v>244</v>
      </c>
      <c r="J107" s="99"/>
      <c r="K107" s="102"/>
      <c r="L107" s="26"/>
      <c r="M107" s="27"/>
    </row>
    <row r="108" spans="1:13" ht="12.75">
      <c r="A108" s="44"/>
      <c r="B108" s="18"/>
      <c r="C108" s="18"/>
      <c r="D108" s="46"/>
      <c r="E108" s="32"/>
      <c r="F108" s="167"/>
      <c r="G108" s="101"/>
      <c r="H108" s="101" t="s">
        <v>243</v>
      </c>
      <c r="I108" s="99" t="s">
        <v>59</v>
      </c>
      <c r="J108" s="99"/>
      <c r="K108" s="101"/>
      <c r="L108" s="32"/>
      <c r="M108" s="61"/>
    </row>
    <row r="109" spans="1:13" ht="12.75">
      <c r="A109" s="25" t="s">
        <v>58</v>
      </c>
      <c r="B109" s="26"/>
      <c r="C109" s="26"/>
      <c r="D109" s="26" t="s">
        <v>31</v>
      </c>
      <c r="E109" s="26"/>
      <c r="F109" s="26"/>
      <c r="G109" s="23">
        <v>6000000</v>
      </c>
      <c r="H109" s="23">
        <v>2000000</v>
      </c>
      <c r="I109" s="23">
        <v>25000000</v>
      </c>
      <c r="J109" s="99"/>
      <c r="K109" s="169">
        <f>SUM(G109:I109)</f>
        <v>33000000</v>
      </c>
      <c r="L109" s="26"/>
      <c r="M109" s="27"/>
    </row>
    <row r="110" spans="1:13" ht="12.75">
      <c r="A110" s="44" t="s">
        <v>102</v>
      </c>
      <c r="B110" s="18"/>
      <c r="C110" s="18"/>
      <c r="D110" s="18"/>
      <c r="E110" s="18"/>
      <c r="F110" s="18"/>
      <c r="G110" s="55"/>
      <c r="H110" s="55"/>
      <c r="I110" s="55"/>
      <c r="J110" s="55"/>
      <c r="K110" s="55"/>
      <c r="L110" s="18"/>
      <c r="M110" s="60"/>
    </row>
    <row r="111" spans="1:13" ht="12.75">
      <c r="A111" s="44"/>
      <c r="B111" s="18"/>
      <c r="C111" s="18"/>
      <c r="D111" s="18" t="s">
        <v>5</v>
      </c>
      <c r="E111" s="18"/>
      <c r="F111" s="18"/>
      <c r="G111" s="82">
        <v>0.09</v>
      </c>
      <c r="H111" s="82">
        <v>0.09</v>
      </c>
      <c r="I111" s="82">
        <f>+H111</f>
        <v>0.09</v>
      </c>
      <c r="J111" s="55"/>
      <c r="K111" s="82">
        <f>+I111</f>
        <v>0.09</v>
      </c>
      <c r="L111" s="18"/>
      <c r="M111" s="60"/>
    </row>
    <row r="112" spans="1:13" ht="12.75">
      <c r="A112" s="44"/>
      <c r="B112" s="18"/>
      <c r="C112" s="18"/>
      <c r="D112" s="18" t="s">
        <v>159</v>
      </c>
      <c r="E112" s="18"/>
      <c r="F112" s="18"/>
      <c r="G112" s="55"/>
      <c r="H112" s="55"/>
      <c r="I112" s="55"/>
      <c r="J112" s="55"/>
      <c r="K112" s="55"/>
      <c r="L112" s="18"/>
      <c r="M112" s="60"/>
    </row>
    <row r="113" spans="1:13" ht="12.75">
      <c r="A113" s="44"/>
      <c r="B113" s="18"/>
      <c r="C113" s="18"/>
      <c r="D113" s="18" t="s">
        <v>56</v>
      </c>
      <c r="E113" s="18">
        <v>13</v>
      </c>
      <c r="F113" s="18"/>
      <c r="G113" s="57">
        <f>+E113*12</f>
        <v>156</v>
      </c>
      <c r="H113" s="57">
        <f>+G113</f>
        <v>156</v>
      </c>
      <c r="I113" s="57">
        <f>+H113</f>
        <v>156</v>
      </c>
      <c r="J113" s="57"/>
      <c r="K113" s="55">
        <f>+I113</f>
        <v>156</v>
      </c>
      <c r="L113" s="18"/>
      <c r="M113" s="60"/>
    </row>
    <row r="114" spans="1:13" ht="12.75">
      <c r="A114" s="44"/>
      <c r="B114" s="18"/>
      <c r="C114" s="18"/>
      <c r="D114" s="18" t="s">
        <v>14</v>
      </c>
      <c r="E114" s="18"/>
      <c r="F114" s="18"/>
      <c r="G114" s="276">
        <f>+(G109*G111/12)/((1+G111/12)^G113-1)</f>
        <v>20380.830835766596</v>
      </c>
      <c r="H114" s="276">
        <f>+(H109*H111/12)/((1+H111/12)^H113-1)</f>
        <v>6793.610278588865</v>
      </c>
      <c r="I114" s="276">
        <f>+(I109*I111/12)/((1+I111/12)^I113-1)</f>
        <v>84920.12848236081</v>
      </c>
      <c r="J114" s="55"/>
      <c r="K114" s="277">
        <f>SUM(G114:I114)</f>
        <v>112094.56959671628</v>
      </c>
      <c r="L114" s="18"/>
      <c r="M114" s="60"/>
    </row>
    <row r="115" spans="1:13" ht="12.75">
      <c r="A115" s="44"/>
      <c r="B115" s="18"/>
      <c r="C115" s="18"/>
      <c r="D115" s="18"/>
      <c r="E115" s="18"/>
      <c r="F115" s="18"/>
      <c r="G115" s="55"/>
      <c r="H115" s="55"/>
      <c r="I115" s="55"/>
      <c r="J115" s="55"/>
      <c r="K115" s="55"/>
      <c r="L115" s="18"/>
      <c r="M115" s="60"/>
    </row>
    <row r="116" spans="1:13" ht="12.75">
      <c r="A116" s="46"/>
      <c r="B116" s="32"/>
      <c r="C116" s="32"/>
      <c r="D116" s="32"/>
      <c r="E116" s="32"/>
      <c r="F116" s="32"/>
      <c r="G116" s="57"/>
      <c r="H116" s="57"/>
      <c r="I116" s="57"/>
      <c r="J116" s="57"/>
      <c r="K116" s="57"/>
      <c r="L116" s="32"/>
      <c r="M116" s="61"/>
    </row>
    <row r="117" spans="1:13" ht="12.75">
      <c r="A117" s="25"/>
      <c r="B117" s="26"/>
      <c r="C117" s="26"/>
      <c r="D117" s="26"/>
      <c r="E117" s="26"/>
      <c r="F117" s="54"/>
      <c r="G117" s="54"/>
      <c r="H117" s="54"/>
      <c r="I117" s="54"/>
      <c r="J117" s="54"/>
      <c r="K117" s="168"/>
      <c r="L117" s="26"/>
      <c r="M117" s="27"/>
    </row>
    <row r="118" spans="1:13" ht="12.75">
      <c r="A118" s="44"/>
      <c r="B118" s="18"/>
      <c r="C118" s="18"/>
      <c r="D118" s="25" t="s">
        <v>112</v>
      </c>
      <c r="E118" s="26"/>
      <c r="F118" s="99" t="s">
        <v>113</v>
      </c>
      <c r="G118" s="99" t="s">
        <v>114</v>
      </c>
      <c r="H118" s="99" t="s">
        <v>251</v>
      </c>
      <c r="I118" s="99" t="s">
        <v>247</v>
      </c>
      <c r="J118" s="99" t="s">
        <v>248</v>
      </c>
      <c r="K118" s="100" t="s">
        <v>118</v>
      </c>
      <c r="L118" s="26"/>
      <c r="M118" s="27"/>
    </row>
    <row r="119" spans="1:13" ht="12.75">
      <c r="A119" s="44" t="s">
        <v>72</v>
      </c>
      <c r="B119" s="18"/>
      <c r="C119" s="18"/>
      <c r="D119" s="44"/>
      <c r="E119" s="18"/>
      <c r="F119" s="102" t="s">
        <v>73</v>
      </c>
      <c r="G119" s="102" t="s">
        <v>111</v>
      </c>
      <c r="H119" s="102" t="s">
        <v>116</v>
      </c>
      <c r="I119" s="99"/>
      <c r="J119" s="165"/>
      <c r="K119" s="102" t="s">
        <v>119</v>
      </c>
      <c r="L119" s="26"/>
      <c r="M119" s="27"/>
    </row>
    <row r="120" spans="1:13" ht="12.75">
      <c r="A120" s="44" t="s">
        <v>99</v>
      </c>
      <c r="B120" s="18"/>
      <c r="C120" s="18"/>
      <c r="D120" s="46"/>
      <c r="E120" s="32"/>
      <c r="F120" s="101" t="s">
        <v>110</v>
      </c>
      <c r="G120" s="101" t="s">
        <v>110</v>
      </c>
      <c r="H120" s="101" t="s">
        <v>122</v>
      </c>
      <c r="I120" s="182" t="s">
        <v>121</v>
      </c>
      <c r="J120" s="182" t="s">
        <v>121</v>
      </c>
      <c r="K120" s="101" t="s">
        <v>120</v>
      </c>
      <c r="L120" s="32"/>
      <c r="M120" s="61"/>
    </row>
    <row r="121" spans="1:13" ht="12.75">
      <c r="A121" s="44" t="s">
        <v>100</v>
      </c>
      <c r="B121" s="18"/>
      <c r="C121" s="18"/>
      <c r="D121" s="18" t="s">
        <v>31</v>
      </c>
      <c r="E121" s="18"/>
      <c r="F121" s="24">
        <v>600000</v>
      </c>
      <c r="G121" s="24">
        <v>2000000</v>
      </c>
      <c r="H121" s="24">
        <v>1000000</v>
      </c>
      <c r="I121" s="183">
        <v>2500000</v>
      </c>
      <c r="J121" s="183">
        <v>4000000</v>
      </c>
      <c r="K121" s="24">
        <v>2500000</v>
      </c>
      <c r="M121" s="60"/>
    </row>
    <row r="122" spans="1:13" ht="12.75">
      <c r="A122" s="44"/>
      <c r="B122" s="18"/>
      <c r="C122" s="18"/>
      <c r="D122" s="18" t="s">
        <v>5</v>
      </c>
      <c r="E122" s="18"/>
      <c r="F122" s="82">
        <v>0.08</v>
      </c>
      <c r="G122" s="82">
        <f>+F122</f>
        <v>0.08</v>
      </c>
      <c r="H122" s="82">
        <f>+G122</f>
        <v>0.08</v>
      </c>
      <c r="I122" s="184">
        <f>+H122</f>
        <v>0.08</v>
      </c>
      <c r="J122" s="184">
        <f>+I122</f>
        <v>0.08</v>
      </c>
      <c r="K122" s="82">
        <f>+I122</f>
        <v>0.08</v>
      </c>
      <c r="M122" s="60"/>
    </row>
    <row r="123" spans="1:13" ht="12.75">
      <c r="A123" s="44"/>
      <c r="B123" s="18"/>
      <c r="C123" s="18"/>
      <c r="D123" s="18" t="s">
        <v>56</v>
      </c>
      <c r="E123" s="18"/>
      <c r="F123" s="55">
        <v>36</v>
      </c>
      <c r="G123" s="55">
        <v>24</v>
      </c>
      <c r="H123" s="55">
        <v>12</v>
      </c>
      <c r="I123" s="56">
        <v>12</v>
      </c>
      <c r="J123" s="56">
        <v>12</v>
      </c>
      <c r="K123" s="55">
        <v>24</v>
      </c>
      <c r="M123" s="60"/>
    </row>
    <row r="124" spans="1:13" ht="12.75">
      <c r="A124" s="44"/>
      <c r="B124" s="18"/>
      <c r="C124" s="18"/>
      <c r="D124" s="18" t="s">
        <v>14</v>
      </c>
      <c r="E124" s="18"/>
      <c r="F124" s="276">
        <f aca="true" t="shared" si="24" ref="F124:K124">+(F121*F122/12)/((1+F122/12)^F123-1)</f>
        <v>14801.819276858649</v>
      </c>
      <c r="G124" s="276">
        <f t="shared" si="24"/>
        <v>77121.24957903565</v>
      </c>
      <c r="H124" s="276">
        <f t="shared" si="24"/>
        <v>80321.76241875513</v>
      </c>
      <c r="I124" s="278">
        <f t="shared" si="24"/>
        <v>200804.4060468878</v>
      </c>
      <c r="J124" s="278">
        <f t="shared" si="24"/>
        <v>321287.0496750205</v>
      </c>
      <c r="K124" s="276">
        <f t="shared" si="24"/>
        <v>96401.56197379455</v>
      </c>
      <c r="M124" s="60"/>
    </row>
    <row r="125" spans="1:13" ht="12.75">
      <c r="A125" s="44"/>
      <c r="B125" s="18"/>
      <c r="C125" s="18"/>
      <c r="D125" s="18"/>
      <c r="E125" s="18"/>
      <c r="F125" s="55"/>
      <c r="G125" s="55"/>
      <c r="H125" s="55"/>
      <c r="I125" s="56"/>
      <c r="J125" s="56"/>
      <c r="K125" s="55"/>
      <c r="L125" s="18"/>
      <c r="M125" s="60"/>
    </row>
    <row r="126" spans="1:13" ht="12.75">
      <c r="A126" s="46"/>
      <c r="B126" s="32"/>
      <c r="C126" s="32"/>
      <c r="D126" s="32"/>
      <c r="E126" s="32"/>
      <c r="F126" s="57"/>
      <c r="G126" s="57"/>
      <c r="H126" s="57"/>
      <c r="I126" s="185"/>
      <c r="J126" s="185"/>
      <c r="K126" s="57"/>
      <c r="L126" s="32"/>
      <c r="M126" s="61"/>
    </row>
    <row r="129" spans="1:13" ht="12.75">
      <c r="A129" s="44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60"/>
    </row>
    <row r="130" spans="1:13" ht="12.75">
      <c r="A130" s="44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60"/>
    </row>
    <row r="131" spans="1:13" ht="12.75">
      <c r="A131" s="44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60"/>
    </row>
    <row r="132" spans="1:13" ht="12.75">
      <c r="A132" s="44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60"/>
    </row>
    <row r="133" spans="1:13" ht="12.75">
      <c r="A133" s="25"/>
      <c r="B133" s="26"/>
      <c r="C133" s="26"/>
      <c r="D133" s="26"/>
      <c r="E133" s="26"/>
      <c r="F133" s="26"/>
      <c r="G133" s="26"/>
      <c r="H133" s="26"/>
      <c r="I133" s="59"/>
      <c r="J133" s="26"/>
      <c r="K133" s="26"/>
      <c r="L133" s="26"/>
      <c r="M133" s="27"/>
    </row>
    <row r="134" spans="1:13" ht="12.75">
      <c r="A134" s="44" t="s">
        <v>65</v>
      </c>
      <c r="B134" s="18"/>
      <c r="C134" s="18"/>
      <c r="D134" s="18" t="s">
        <v>252</v>
      </c>
      <c r="E134" s="18"/>
      <c r="F134" s="18"/>
      <c r="G134" s="18"/>
      <c r="H134" s="18"/>
      <c r="I134" s="59"/>
      <c r="J134" s="18"/>
      <c r="K134" s="18"/>
      <c r="L134" s="18"/>
      <c r="M134" s="60"/>
    </row>
    <row r="135" spans="1:13" ht="12.75">
      <c r="A135" s="44"/>
      <c r="B135" s="18"/>
      <c r="C135" s="18"/>
      <c r="D135" s="18" t="s">
        <v>93</v>
      </c>
      <c r="E135" s="18"/>
      <c r="F135" s="18"/>
      <c r="G135" s="67">
        <v>0.09</v>
      </c>
      <c r="H135" s="18"/>
      <c r="I135" s="59"/>
      <c r="J135" s="18"/>
      <c r="K135" s="18"/>
      <c r="L135" s="18"/>
      <c r="M135" s="60"/>
    </row>
    <row r="136" spans="1:13" ht="12.75">
      <c r="A136" s="44"/>
      <c r="B136" s="18"/>
      <c r="C136" s="18"/>
      <c r="D136" s="18"/>
      <c r="E136" s="18"/>
      <c r="F136" s="18" t="s">
        <v>216</v>
      </c>
      <c r="G136" s="18"/>
      <c r="H136" s="18"/>
      <c r="I136" s="59"/>
      <c r="J136" s="18"/>
      <c r="K136" s="18" t="s">
        <v>217</v>
      </c>
      <c r="L136" s="18"/>
      <c r="M136" s="60"/>
    </row>
    <row r="137" spans="1:13" ht="12.75">
      <c r="A137" s="44"/>
      <c r="B137" s="18"/>
      <c r="C137" s="18"/>
      <c r="D137" s="18" t="s">
        <v>42</v>
      </c>
      <c r="E137" s="18"/>
      <c r="F137" s="18"/>
      <c r="G137" s="18"/>
      <c r="H137" s="29"/>
      <c r="I137" s="59"/>
      <c r="J137" s="18"/>
      <c r="K137" s="18"/>
      <c r="L137" s="18"/>
      <c r="M137" s="60"/>
    </row>
    <row r="138" spans="1:13" ht="12.75">
      <c r="A138" s="44"/>
      <c r="B138" s="18"/>
      <c r="C138" s="18"/>
      <c r="D138" s="18" t="s">
        <v>63</v>
      </c>
      <c r="E138" s="18" t="s">
        <v>30</v>
      </c>
      <c r="F138" s="103" t="s">
        <v>270</v>
      </c>
      <c r="G138" s="29" t="s">
        <v>66</v>
      </c>
      <c r="H138" s="29" t="s">
        <v>50</v>
      </c>
      <c r="I138" s="59"/>
      <c r="J138" s="103" t="s">
        <v>270</v>
      </c>
      <c r="K138" s="29" t="s">
        <v>50</v>
      </c>
      <c r="L138" s="103" t="s">
        <v>98</v>
      </c>
      <c r="M138" s="60"/>
    </row>
    <row r="139" spans="1:14" ht="12.75">
      <c r="A139" s="44"/>
      <c r="B139" s="18"/>
      <c r="C139" s="18"/>
      <c r="D139" s="29">
        <f>+B6</f>
        <v>31</v>
      </c>
      <c r="E139" s="29">
        <v>1</v>
      </c>
      <c r="F139" s="17">
        <f aca="true" t="shared" si="25" ref="F139:F145">+X6</f>
        <v>0</v>
      </c>
      <c r="G139" s="29">
        <f>+E$167-E139</f>
        <v>28</v>
      </c>
      <c r="H139" s="37">
        <f>-FV(+G$135/12,12,F139)*(1+G$135)^+G139</f>
        <v>0</v>
      </c>
      <c r="I139" s="59"/>
      <c r="J139" s="17">
        <f>+AB6</f>
        <v>0</v>
      </c>
      <c r="K139" s="37">
        <f>-FV(+G$135/12,12,J139)*(1+G$135)^+G139</f>
        <v>0</v>
      </c>
      <c r="L139" s="17">
        <f>+K139</f>
        <v>0</v>
      </c>
      <c r="M139" s="60"/>
      <c r="N139" s="17"/>
    </row>
    <row r="140" spans="1:14" ht="12.75">
      <c r="A140" s="44"/>
      <c r="B140" s="18"/>
      <c r="C140" s="18"/>
      <c r="D140" s="29">
        <f aca="true" t="shared" si="26" ref="D140:D167">+B7</f>
        <v>32</v>
      </c>
      <c r="E140" s="29">
        <f aca="true" t="shared" si="27" ref="E140:E145">+E139+1</f>
        <v>2</v>
      </c>
      <c r="F140" s="17">
        <f t="shared" si="25"/>
        <v>0</v>
      </c>
      <c r="G140" s="29">
        <f aca="true" t="shared" si="28" ref="G140:G145">+E$167-E140</f>
        <v>27</v>
      </c>
      <c r="H140" s="37">
        <f aca="true" t="shared" si="29" ref="H140:H167">-FV(+G$135/12,12,F140)*(1+G$135)^+G140</f>
        <v>0</v>
      </c>
      <c r="I140" s="59"/>
      <c r="J140" s="17">
        <f aca="true" t="shared" si="30" ref="J140:J167">+AB7</f>
        <v>0</v>
      </c>
      <c r="K140" s="37">
        <f aca="true" t="shared" si="31" ref="K140:K167">-FV(+G$135/12,12,J140)*(1+G$135)^+G140</f>
        <v>0</v>
      </c>
      <c r="L140" s="17">
        <f>+L139+K140</f>
        <v>0</v>
      </c>
      <c r="M140" s="60"/>
      <c r="N140" s="17"/>
    </row>
    <row r="141" spans="1:14" ht="12.75">
      <c r="A141" s="44"/>
      <c r="B141" s="18"/>
      <c r="C141" s="18"/>
      <c r="D141" s="29">
        <f t="shared" si="26"/>
        <v>33</v>
      </c>
      <c r="E141" s="29">
        <f t="shared" si="27"/>
        <v>3</v>
      </c>
      <c r="F141" s="17">
        <f t="shared" si="25"/>
        <v>0</v>
      </c>
      <c r="G141" s="29">
        <f t="shared" si="28"/>
        <v>26</v>
      </c>
      <c r="H141" s="37">
        <f t="shared" si="29"/>
        <v>0</v>
      </c>
      <c r="I141" s="59"/>
      <c r="J141" s="17">
        <f t="shared" si="30"/>
        <v>533.7153854681965</v>
      </c>
      <c r="K141" s="37">
        <f t="shared" si="31"/>
        <v>62743.99667062678</v>
      </c>
      <c r="L141" s="17">
        <f aca="true" t="shared" si="32" ref="L141:L167">+L140+K141</f>
        <v>62743.99667062678</v>
      </c>
      <c r="M141" s="60"/>
      <c r="N141" s="17"/>
    </row>
    <row r="142" spans="1:14" ht="12.75">
      <c r="A142" s="44"/>
      <c r="B142" s="18"/>
      <c r="C142" s="18"/>
      <c r="D142" s="29">
        <f t="shared" si="26"/>
        <v>34</v>
      </c>
      <c r="E142" s="29">
        <f t="shared" si="27"/>
        <v>4</v>
      </c>
      <c r="F142" s="17">
        <f t="shared" si="25"/>
        <v>0</v>
      </c>
      <c r="G142" s="29">
        <f t="shared" si="28"/>
        <v>25</v>
      </c>
      <c r="H142" s="37">
        <f t="shared" si="29"/>
        <v>0</v>
      </c>
      <c r="I142" s="59"/>
      <c r="J142" s="17">
        <f t="shared" si="30"/>
        <v>8817.9528854682</v>
      </c>
      <c r="K142" s="37">
        <f t="shared" si="31"/>
        <v>951050.8381207861</v>
      </c>
      <c r="L142" s="17">
        <f t="shared" si="32"/>
        <v>1013794.8347914129</v>
      </c>
      <c r="M142" s="60"/>
      <c r="N142" s="17"/>
    </row>
    <row r="143" spans="1:14" ht="12.75">
      <c r="A143" s="44"/>
      <c r="B143" s="18"/>
      <c r="C143" s="18"/>
      <c r="D143" s="29">
        <f t="shared" si="26"/>
        <v>35</v>
      </c>
      <c r="E143" s="29">
        <f t="shared" si="27"/>
        <v>5</v>
      </c>
      <c r="F143" s="17">
        <f t="shared" si="25"/>
        <v>0</v>
      </c>
      <c r="G143" s="29">
        <f t="shared" si="28"/>
        <v>24</v>
      </c>
      <c r="H143" s="37">
        <f t="shared" si="29"/>
        <v>0</v>
      </c>
      <c r="I143" s="59"/>
      <c r="J143" s="17">
        <f t="shared" si="30"/>
        <v>403.3512156062134</v>
      </c>
      <c r="K143" s="37">
        <f t="shared" si="31"/>
        <v>39911.02033615324</v>
      </c>
      <c r="L143" s="17">
        <f t="shared" si="32"/>
        <v>1053705.8551275663</v>
      </c>
      <c r="M143" s="60"/>
      <c r="N143" s="17"/>
    </row>
    <row r="144" spans="1:14" ht="12.75">
      <c r="A144" s="44"/>
      <c r="B144" s="18"/>
      <c r="C144" s="18"/>
      <c r="D144" s="29">
        <f t="shared" si="26"/>
        <v>36</v>
      </c>
      <c r="E144" s="29">
        <f t="shared" si="27"/>
        <v>6</v>
      </c>
      <c r="F144" s="17">
        <f t="shared" si="25"/>
        <v>10000</v>
      </c>
      <c r="G144" s="29">
        <f t="shared" si="28"/>
        <v>23</v>
      </c>
      <c r="H144" s="37">
        <f t="shared" si="29"/>
        <v>907784.9172281633</v>
      </c>
      <c r="I144" s="59"/>
      <c r="J144" s="17">
        <f t="shared" si="30"/>
        <v>1124.185929356223</v>
      </c>
      <c r="K144" s="37">
        <f t="shared" si="31"/>
        <v>102051.90308297047</v>
      </c>
      <c r="L144" s="17">
        <f t="shared" si="32"/>
        <v>1155757.7582105368</v>
      </c>
      <c r="M144" s="60"/>
      <c r="N144" s="17"/>
    </row>
    <row r="145" spans="1:14" ht="12.75">
      <c r="A145" s="44"/>
      <c r="B145" s="18"/>
      <c r="C145" s="18"/>
      <c r="D145" s="29">
        <f t="shared" si="26"/>
        <v>37</v>
      </c>
      <c r="E145" s="29">
        <f t="shared" si="27"/>
        <v>7</v>
      </c>
      <c r="F145" s="17">
        <f t="shared" si="25"/>
        <v>15000</v>
      </c>
      <c r="G145" s="29">
        <f t="shared" si="28"/>
        <v>22</v>
      </c>
      <c r="H145" s="37">
        <f t="shared" si="29"/>
        <v>1249245.2989378395</v>
      </c>
      <c r="I145" s="59"/>
      <c r="J145" s="17">
        <f t="shared" si="30"/>
        <v>884.6673988127586</v>
      </c>
      <c r="K145" s="37">
        <f t="shared" si="31"/>
        <v>73677.77260602704</v>
      </c>
      <c r="L145" s="17">
        <f t="shared" si="32"/>
        <v>1229435.5308165639</v>
      </c>
      <c r="M145" s="60"/>
      <c r="N145" s="17"/>
    </row>
    <row r="146" spans="1:14" ht="12.75">
      <c r="A146" s="44"/>
      <c r="B146" s="18"/>
      <c r="C146" s="18"/>
      <c r="D146" s="29">
        <f t="shared" si="26"/>
        <v>38</v>
      </c>
      <c r="E146" s="29">
        <v>8</v>
      </c>
      <c r="F146" s="17">
        <f aca="true" t="shared" si="33" ref="F146:F167">+X13</f>
        <v>15000</v>
      </c>
      <c r="G146" s="29">
        <f aca="true" t="shared" si="34" ref="G146:G167">+E$167-E146</f>
        <v>21</v>
      </c>
      <c r="H146" s="37">
        <f t="shared" si="29"/>
        <v>1146096.604530128</v>
      </c>
      <c r="I146" s="59"/>
      <c r="J146" s="17">
        <f t="shared" si="30"/>
        <v>12482.138239998527</v>
      </c>
      <c r="K146" s="37">
        <f t="shared" si="31"/>
        <v>953715.7502758653</v>
      </c>
      <c r="L146" s="17">
        <f t="shared" si="32"/>
        <v>2183151.281092429</v>
      </c>
      <c r="M146" s="60"/>
      <c r="N146" s="17"/>
    </row>
    <row r="147" spans="1:14" ht="12.75">
      <c r="A147" s="44"/>
      <c r="B147" s="18"/>
      <c r="C147" s="18"/>
      <c r="D147" s="29">
        <f t="shared" si="26"/>
        <v>39</v>
      </c>
      <c r="E147" s="29">
        <f>+E146+1</f>
        <v>9</v>
      </c>
      <c r="F147" s="17">
        <f t="shared" si="33"/>
        <v>15000</v>
      </c>
      <c r="G147" s="29">
        <f t="shared" si="34"/>
        <v>20</v>
      </c>
      <c r="H147" s="37">
        <f t="shared" si="29"/>
        <v>1051464.7747982822</v>
      </c>
      <c r="I147" s="59"/>
      <c r="J147" s="17">
        <f t="shared" si="30"/>
        <v>42283.76403088846</v>
      </c>
      <c r="K147" s="37">
        <f t="shared" si="31"/>
        <v>2963992.5616241232</v>
      </c>
      <c r="L147" s="17">
        <f t="shared" si="32"/>
        <v>5147143.842716552</v>
      </c>
      <c r="M147" s="60"/>
      <c r="N147" s="17"/>
    </row>
    <row r="148" spans="1:14" ht="12.75">
      <c r="A148" s="44"/>
      <c r="B148" s="18"/>
      <c r="C148" s="18"/>
      <c r="D148" s="29">
        <f t="shared" si="26"/>
        <v>40</v>
      </c>
      <c r="E148" s="29">
        <f aca="true" t="shared" si="35" ref="E148:E167">+E147+1</f>
        <v>10</v>
      </c>
      <c r="F148" s="17">
        <f t="shared" si="33"/>
        <v>15000</v>
      </c>
      <c r="G148" s="29">
        <f t="shared" si="34"/>
        <v>19</v>
      </c>
      <c r="H148" s="37">
        <f t="shared" si="29"/>
        <v>964646.5823837452</v>
      </c>
      <c r="I148" s="59"/>
      <c r="J148" s="17">
        <f t="shared" si="30"/>
        <v>3289.3637103797337</v>
      </c>
      <c r="K148" s="37">
        <f t="shared" si="31"/>
        <v>211538.2307623284</v>
      </c>
      <c r="L148" s="17">
        <f t="shared" si="32"/>
        <v>5358682.07347888</v>
      </c>
      <c r="M148" s="60"/>
      <c r="N148" s="17"/>
    </row>
    <row r="149" spans="1:14" ht="12.75">
      <c r="A149" s="44"/>
      <c r="B149" s="18"/>
      <c r="C149" s="18"/>
      <c r="D149" s="29">
        <f t="shared" si="26"/>
        <v>41</v>
      </c>
      <c r="E149" s="29">
        <f t="shared" si="35"/>
        <v>11</v>
      </c>
      <c r="F149" s="17">
        <f t="shared" si="33"/>
        <v>30000</v>
      </c>
      <c r="G149" s="29">
        <f t="shared" si="34"/>
        <v>18</v>
      </c>
      <c r="H149" s="37">
        <f t="shared" si="29"/>
        <v>1769993.7291444866</v>
      </c>
      <c r="I149" s="59"/>
      <c r="J149" s="17">
        <f t="shared" si="30"/>
        <v>41023.66077747596</v>
      </c>
      <c r="K149" s="37">
        <f t="shared" si="31"/>
        <v>2420387.4107561028</v>
      </c>
      <c r="L149" s="17">
        <f t="shared" si="32"/>
        <v>7779069.484234983</v>
      </c>
      <c r="M149" s="60"/>
      <c r="N149" s="17"/>
    </row>
    <row r="150" spans="1:14" ht="12.75">
      <c r="A150" s="44"/>
      <c r="B150" s="18"/>
      <c r="C150" s="18"/>
      <c r="D150" s="29">
        <f t="shared" si="26"/>
        <v>42</v>
      </c>
      <c r="E150" s="29">
        <f t="shared" si="35"/>
        <v>12</v>
      </c>
      <c r="F150" s="17">
        <f t="shared" si="33"/>
        <v>30000</v>
      </c>
      <c r="G150" s="29">
        <f t="shared" si="34"/>
        <v>17</v>
      </c>
      <c r="H150" s="37">
        <f t="shared" si="29"/>
        <v>1623847.4579307213</v>
      </c>
      <c r="I150" s="59"/>
      <c r="J150" s="17">
        <f t="shared" si="30"/>
        <v>6673.961955486637</v>
      </c>
      <c r="K150" s="37">
        <f t="shared" si="31"/>
        <v>361249.87185811077</v>
      </c>
      <c r="L150" s="17">
        <f t="shared" si="32"/>
        <v>8140319.356093094</v>
      </c>
      <c r="M150" s="60"/>
      <c r="N150" s="17"/>
    </row>
    <row r="151" spans="1:14" ht="12.75">
      <c r="A151" s="44"/>
      <c r="B151" s="18"/>
      <c r="C151" s="18"/>
      <c r="D151" s="29">
        <f t="shared" si="26"/>
        <v>43</v>
      </c>
      <c r="E151" s="29">
        <f t="shared" si="35"/>
        <v>13</v>
      </c>
      <c r="F151" s="17">
        <f t="shared" si="33"/>
        <v>75000</v>
      </c>
      <c r="G151" s="29">
        <f t="shared" si="34"/>
        <v>16</v>
      </c>
      <c r="H151" s="37">
        <f t="shared" si="29"/>
        <v>3724420.775070462</v>
      </c>
      <c r="I151" s="59"/>
      <c r="J151" s="17">
        <f t="shared" si="30"/>
        <v>9885.376729597308</v>
      </c>
      <c r="K151" s="37">
        <f t="shared" si="31"/>
        <v>490897.36614813755</v>
      </c>
      <c r="L151" s="17">
        <f t="shared" si="32"/>
        <v>8631216.722241232</v>
      </c>
      <c r="M151" s="60"/>
      <c r="N151" s="17"/>
    </row>
    <row r="152" spans="1:14" ht="12.75">
      <c r="A152" s="44"/>
      <c r="B152" s="18"/>
      <c r="C152" s="18"/>
      <c r="D152" s="29">
        <f t="shared" si="26"/>
        <v>44</v>
      </c>
      <c r="E152" s="29">
        <f t="shared" si="35"/>
        <v>14</v>
      </c>
      <c r="F152" s="17">
        <f t="shared" si="33"/>
        <v>75000</v>
      </c>
      <c r="G152" s="29">
        <f t="shared" si="34"/>
        <v>15</v>
      </c>
      <c r="H152" s="37">
        <f t="shared" si="29"/>
        <v>3416899.793642625</v>
      </c>
      <c r="I152" s="59"/>
      <c r="J152" s="17">
        <f t="shared" si="30"/>
        <v>21538.917746312654</v>
      </c>
      <c r="K152" s="37">
        <f t="shared" si="31"/>
        <v>981284.3147021491</v>
      </c>
      <c r="L152" s="17">
        <f t="shared" si="32"/>
        <v>9612501.036943382</v>
      </c>
      <c r="M152" s="60"/>
      <c r="N152" s="17"/>
    </row>
    <row r="153" spans="1:14" ht="12.75">
      <c r="A153" s="44"/>
      <c r="B153" s="18"/>
      <c r="C153" s="18"/>
      <c r="D153" s="29">
        <f t="shared" si="26"/>
        <v>45</v>
      </c>
      <c r="E153" s="29">
        <f t="shared" si="35"/>
        <v>15</v>
      </c>
      <c r="F153" s="17">
        <f t="shared" si="33"/>
        <v>75000</v>
      </c>
      <c r="G153" s="29">
        <f t="shared" si="34"/>
        <v>14</v>
      </c>
      <c r="H153" s="37">
        <f t="shared" si="29"/>
        <v>3134770.4528831425</v>
      </c>
      <c r="I153" s="59"/>
      <c r="J153" s="17">
        <f t="shared" si="30"/>
        <v>70763.31995987671</v>
      </c>
      <c r="K153" s="37">
        <f t="shared" si="31"/>
        <v>2957690.194108499</v>
      </c>
      <c r="L153" s="17">
        <f t="shared" si="32"/>
        <v>12570191.23105188</v>
      </c>
      <c r="M153" s="60"/>
      <c r="N153" s="17"/>
    </row>
    <row r="154" spans="1:14" ht="12.75">
      <c r="A154" s="44"/>
      <c r="B154" s="18"/>
      <c r="C154" s="18"/>
      <c r="D154" s="29">
        <f t="shared" si="26"/>
        <v>46</v>
      </c>
      <c r="E154" s="29">
        <f t="shared" si="35"/>
        <v>16</v>
      </c>
      <c r="F154" s="17">
        <f t="shared" si="33"/>
        <v>125000</v>
      </c>
      <c r="G154" s="29">
        <f t="shared" si="34"/>
        <v>13</v>
      </c>
      <c r="H154" s="37">
        <f t="shared" si="29"/>
        <v>4793226.99217606</v>
      </c>
      <c r="I154" s="59"/>
      <c r="J154" s="17">
        <f t="shared" si="30"/>
        <v>107522.98065131868</v>
      </c>
      <c r="K154" s="37">
        <f t="shared" si="31"/>
        <v>4123056.4250969985</v>
      </c>
      <c r="L154" s="17">
        <f t="shared" si="32"/>
        <v>16693247.656148879</v>
      </c>
      <c r="M154" s="60"/>
      <c r="N154" s="17"/>
    </row>
    <row r="155" spans="1:14" ht="12.75">
      <c r="A155" s="44"/>
      <c r="B155" s="18"/>
      <c r="C155" s="18"/>
      <c r="D155" s="29">
        <f t="shared" si="26"/>
        <v>47</v>
      </c>
      <c r="E155" s="29">
        <f t="shared" si="35"/>
        <v>17</v>
      </c>
      <c r="F155" s="17">
        <f t="shared" si="33"/>
        <v>125000</v>
      </c>
      <c r="G155" s="29">
        <f t="shared" si="34"/>
        <v>12</v>
      </c>
      <c r="H155" s="37">
        <f t="shared" si="29"/>
        <v>4397455.9561248245</v>
      </c>
      <c r="I155" s="59"/>
      <c r="J155" s="17">
        <f t="shared" si="30"/>
        <v>9411.179521822196</v>
      </c>
      <c r="K155" s="37">
        <f t="shared" si="31"/>
        <v>331081.9795391759</v>
      </c>
      <c r="L155" s="17">
        <f t="shared" si="32"/>
        <v>17024329.635688055</v>
      </c>
      <c r="M155" s="60"/>
      <c r="N155" s="17"/>
    </row>
    <row r="156" spans="1:14" ht="12.75">
      <c r="A156" s="44"/>
      <c r="B156" s="18"/>
      <c r="C156" s="18"/>
      <c r="D156" s="29">
        <f t="shared" si="26"/>
        <v>48</v>
      </c>
      <c r="E156" s="29">
        <f t="shared" si="35"/>
        <v>18</v>
      </c>
      <c r="F156" s="17">
        <f t="shared" si="33"/>
        <v>125000</v>
      </c>
      <c r="G156" s="29">
        <f t="shared" si="34"/>
        <v>11</v>
      </c>
      <c r="H156" s="37">
        <f t="shared" si="29"/>
        <v>4034363.262499839</v>
      </c>
      <c r="I156" s="59"/>
      <c r="J156" s="17">
        <f t="shared" si="30"/>
        <v>150510.0217314578</v>
      </c>
      <c r="K156" s="37">
        <f t="shared" si="31"/>
        <v>4857696.818491566</v>
      </c>
      <c r="L156" s="17">
        <f t="shared" si="32"/>
        <v>21882026.454179622</v>
      </c>
      <c r="M156" s="60"/>
      <c r="N156" s="17"/>
    </row>
    <row r="157" spans="1:14" ht="12.75">
      <c r="A157" s="44"/>
      <c r="B157" s="18"/>
      <c r="C157" s="18"/>
      <c r="D157" s="29">
        <f t="shared" si="26"/>
        <v>49</v>
      </c>
      <c r="E157" s="29">
        <f t="shared" si="35"/>
        <v>19</v>
      </c>
      <c r="F157" s="17">
        <f t="shared" si="33"/>
        <v>125000</v>
      </c>
      <c r="G157" s="29">
        <f t="shared" si="34"/>
        <v>10</v>
      </c>
      <c r="H157" s="37">
        <f t="shared" si="29"/>
        <v>3701250.6995411366</v>
      </c>
      <c r="I157" s="59"/>
      <c r="J157" s="17">
        <f t="shared" si="30"/>
        <v>27856.681267686945</v>
      </c>
      <c r="K157" s="37">
        <f t="shared" si="31"/>
        <v>824836.4882313663</v>
      </c>
      <c r="L157" s="17">
        <f t="shared" si="32"/>
        <v>22706862.942410987</v>
      </c>
      <c r="M157" s="60"/>
      <c r="N157" s="17"/>
    </row>
    <row r="158" spans="1:14" ht="12.75">
      <c r="A158" s="44"/>
      <c r="B158" s="18"/>
      <c r="C158" s="18"/>
      <c r="D158" s="29">
        <f t="shared" si="26"/>
        <v>50</v>
      </c>
      <c r="E158" s="29">
        <f t="shared" si="35"/>
        <v>20</v>
      </c>
      <c r="F158" s="17">
        <f t="shared" si="33"/>
        <v>125000</v>
      </c>
      <c r="G158" s="29">
        <f t="shared" si="34"/>
        <v>9</v>
      </c>
      <c r="H158" s="37">
        <f t="shared" si="29"/>
        <v>3395642.8436157214</v>
      </c>
      <c r="I158" s="59"/>
      <c r="J158" s="17">
        <f t="shared" si="30"/>
        <v>112917.24037937849</v>
      </c>
      <c r="K158" s="37">
        <f t="shared" si="31"/>
        <v>3067412.9537205817</v>
      </c>
      <c r="L158" s="17">
        <f t="shared" si="32"/>
        <v>25774275.896131568</v>
      </c>
      <c r="M158" s="60"/>
      <c r="N158" s="17"/>
    </row>
    <row r="159" spans="1:14" ht="12.75">
      <c r="A159" s="44"/>
      <c r="B159" s="18"/>
      <c r="C159" s="18"/>
      <c r="D159" s="29">
        <f t="shared" si="26"/>
        <v>51</v>
      </c>
      <c r="E159" s="29">
        <f t="shared" si="35"/>
        <v>21</v>
      </c>
      <c r="F159" s="17">
        <f t="shared" si="33"/>
        <v>125000</v>
      </c>
      <c r="G159" s="29">
        <f t="shared" si="34"/>
        <v>8</v>
      </c>
      <c r="H159" s="37">
        <f t="shared" si="29"/>
        <v>3115268.663867634</v>
      </c>
      <c r="I159" s="59"/>
      <c r="J159" s="17">
        <f t="shared" si="30"/>
        <v>58782.43904537085</v>
      </c>
      <c r="K159" s="37">
        <f t="shared" si="31"/>
        <v>1464984.7227500244</v>
      </c>
      <c r="L159" s="17">
        <f t="shared" si="32"/>
        <v>27239260.61888159</v>
      </c>
      <c r="M159" s="60"/>
      <c r="N159" s="17"/>
    </row>
    <row r="160" spans="1:14" ht="12.75">
      <c r="A160" s="44"/>
      <c r="B160" s="18"/>
      <c r="C160" s="18"/>
      <c r="D160" s="29">
        <f t="shared" si="26"/>
        <v>52</v>
      </c>
      <c r="E160" s="29">
        <f t="shared" si="35"/>
        <v>22</v>
      </c>
      <c r="F160" s="17">
        <f t="shared" si="33"/>
        <v>125000</v>
      </c>
      <c r="G160" s="29">
        <f t="shared" si="34"/>
        <v>7</v>
      </c>
      <c r="H160" s="37">
        <f t="shared" si="29"/>
        <v>2858044.6457501226</v>
      </c>
      <c r="I160" s="59"/>
      <c r="J160" s="17">
        <f t="shared" si="30"/>
        <v>65991.5584101508</v>
      </c>
      <c r="K160" s="37">
        <f t="shared" si="31"/>
        <v>1508854.5614307036</v>
      </c>
      <c r="L160" s="17">
        <f t="shared" si="32"/>
        <v>28748115.180312295</v>
      </c>
      <c r="M160" s="60"/>
      <c r="N160" s="17"/>
    </row>
    <row r="161" spans="1:14" ht="12.75">
      <c r="A161" s="44"/>
      <c r="B161" s="18"/>
      <c r="C161" s="18"/>
      <c r="D161" s="29">
        <f t="shared" si="26"/>
        <v>53</v>
      </c>
      <c r="E161" s="29">
        <f t="shared" si="35"/>
        <v>23</v>
      </c>
      <c r="F161" s="17">
        <f t="shared" si="33"/>
        <v>125000</v>
      </c>
      <c r="G161" s="29">
        <f t="shared" si="34"/>
        <v>6</v>
      </c>
      <c r="H161" s="37">
        <f t="shared" si="29"/>
        <v>2622059.308027636</v>
      </c>
      <c r="I161" s="59"/>
      <c r="J161" s="17">
        <f t="shared" si="30"/>
        <v>292420.5547930748</v>
      </c>
      <c r="K161" s="37">
        <f t="shared" si="31"/>
        <v>6133952.300430295</v>
      </c>
      <c r="L161" s="17">
        <f t="shared" si="32"/>
        <v>34882067.48074259</v>
      </c>
      <c r="M161" s="60"/>
      <c r="N161" s="17"/>
    </row>
    <row r="162" spans="1:14" ht="12.75">
      <c r="A162" s="44"/>
      <c r="B162" s="18"/>
      <c r="C162" s="18"/>
      <c r="D162" s="29">
        <f t="shared" si="26"/>
        <v>54</v>
      </c>
      <c r="E162" s="29">
        <f t="shared" si="35"/>
        <v>24</v>
      </c>
      <c r="F162" s="17">
        <f t="shared" si="33"/>
        <v>250000</v>
      </c>
      <c r="G162" s="29">
        <f t="shared" si="34"/>
        <v>5</v>
      </c>
      <c r="H162" s="37">
        <f t="shared" si="29"/>
        <v>4811117.996380982</v>
      </c>
      <c r="I162" s="59"/>
      <c r="J162" s="17">
        <f t="shared" si="30"/>
        <v>441594.6817522301</v>
      </c>
      <c r="K162" s="37">
        <f t="shared" si="31"/>
        <v>8498256.481937148</v>
      </c>
      <c r="L162" s="17">
        <f t="shared" si="32"/>
        <v>43380323.96267974</v>
      </c>
      <c r="M162" s="60"/>
      <c r="N162" s="17"/>
    </row>
    <row r="163" spans="1:14" ht="12.75">
      <c r="A163" s="44"/>
      <c r="B163" s="18"/>
      <c r="C163" s="18"/>
      <c r="D163" s="29">
        <f t="shared" si="26"/>
        <v>55</v>
      </c>
      <c r="E163" s="29">
        <f t="shared" si="35"/>
        <v>25</v>
      </c>
      <c r="F163" s="17">
        <f t="shared" si="33"/>
        <v>250000</v>
      </c>
      <c r="G163" s="29">
        <f t="shared" si="34"/>
        <v>4</v>
      </c>
      <c r="H163" s="37">
        <f t="shared" si="29"/>
        <v>4413869.721450442</v>
      </c>
      <c r="I163" s="59"/>
      <c r="J163" s="17">
        <f t="shared" si="30"/>
        <v>781.4386183980823</v>
      </c>
      <c r="K163" s="37">
        <f t="shared" si="31"/>
        <v>13796.673027677447</v>
      </c>
      <c r="L163" s="17">
        <f t="shared" si="32"/>
        <v>43394120.635707416</v>
      </c>
      <c r="M163" s="60"/>
      <c r="N163" s="17"/>
    </row>
    <row r="164" spans="1:14" ht="12.75">
      <c r="A164" s="44"/>
      <c r="B164" s="18"/>
      <c r="C164" s="18"/>
      <c r="D164" s="29">
        <f t="shared" si="26"/>
        <v>56</v>
      </c>
      <c r="E164" s="29">
        <f t="shared" si="35"/>
        <v>26</v>
      </c>
      <c r="F164" s="17">
        <f t="shared" si="33"/>
        <v>250000</v>
      </c>
      <c r="G164" s="29">
        <f t="shared" si="34"/>
        <v>3</v>
      </c>
      <c r="H164" s="37">
        <f t="shared" si="29"/>
        <v>4049421.7627985706</v>
      </c>
      <c r="I164" s="59"/>
      <c r="J164" s="17">
        <f t="shared" si="30"/>
        <v>4331.16647568233</v>
      </c>
      <c r="K164" s="37">
        <f t="shared" si="31"/>
        <v>70154.87913972646</v>
      </c>
      <c r="L164" s="17">
        <f t="shared" si="32"/>
        <v>43464275.514847144</v>
      </c>
      <c r="M164" s="60"/>
      <c r="N164" s="17"/>
    </row>
    <row r="165" spans="1:14" ht="12.75">
      <c r="A165" s="44"/>
      <c r="B165" s="18"/>
      <c r="C165" s="18"/>
      <c r="D165" s="29">
        <f t="shared" si="26"/>
        <v>57</v>
      </c>
      <c r="E165" s="29">
        <f t="shared" si="35"/>
        <v>27</v>
      </c>
      <c r="F165" s="17">
        <f t="shared" si="33"/>
        <v>350000</v>
      </c>
      <c r="G165" s="29">
        <f t="shared" si="34"/>
        <v>2</v>
      </c>
      <c r="H165" s="37">
        <f t="shared" si="29"/>
        <v>5201092.172401834</v>
      </c>
      <c r="I165" s="59"/>
      <c r="J165" s="17">
        <f t="shared" si="30"/>
        <v>142027.88650331303</v>
      </c>
      <c r="K165" s="37">
        <f t="shared" si="31"/>
        <v>2110571.796443307</v>
      </c>
      <c r="L165" s="17">
        <f t="shared" si="32"/>
        <v>45574847.31129045</v>
      </c>
      <c r="M165" s="60"/>
      <c r="N165" s="17"/>
    </row>
    <row r="166" spans="1:14" ht="12.75">
      <c r="A166" s="44"/>
      <c r="B166" s="18"/>
      <c r="C166" s="18"/>
      <c r="D166" s="29">
        <f t="shared" si="26"/>
        <v>58</v>
      </c>
      <c r="E166" s="29">
        <f t="shared" si="35"/>
        <v>28</v>
      </c>
      <c r="F166" s="17">
        <f t="shared" si="33"/>
        <v>350000</v>
      </c>
      <c r="G166" s="29">
        <f t="shared" si="34"/>
        <v>1</v>
      </c>
      <c r="H166" s="37">
        <f t="shared" si="29"/>
        <v>4771644.194864067</v>
      </c>
      <c r="I166" s="59"/>
      <c r="J166" s="17">
        <f t="shared" si="30"/>
        <v>1089.355767244284</v>
      </c>
      <c r="K166" s="37">
        <f t="shared" si="31"/>
        <v>14851.480351179654</v>
      </c>
      <c r="L166" s="17">
        <f t="shared" si="32"/>
        <v>45589698.79164163</v>
      </c>
      <c r="M166" s="60"/>
      <c r="N166" s="17"/>
    </row>
    <row r="167" spans="1:14" ht="12.75">
      <c r="A167" s="44"/>
      <c r="B167" s="18"/>
      <c r="C167" s="18"/>
      <c r="D167" s="29">
        <f t="shared" si="26"/>
        <v>59</v>
      </c>
      <c r="E167" s="29">
        <f t="shared" si="35"/>
        <v>29</v>
      </c>
      <c r="F167" s="17">
        <f t="shared" si="33"/>
        <v>500000</v>
      </c>
      <c r="G167" s="29">
        <f t="shared" si="34"/>
        <v>0</v>
      </c>
      <c r="H167" s="37">
        <f t="shared" si="29"/>
        <v>6253793.1780656185</v>
      </c>
      <c r="I167" s="59"/>
      <c r="J167" s="17">
        <f t="shared" si="30"/>
        <v>57143.09459227002</v>
      </c>
      <c r="K167" s="37">
        <f t="shared" si="31"/>
        <v>714722.1902693931</v>
      </c>
      <c r="L167" s="17">
        <f t="shared" si="32"/>
        <v>46304420.981911026</v>
      </c>
      <c r="M167" s="60"/>
      <c r="N167" s="17"/>
    </row>
    <row r="168" spans="1:14" ht="13.5" thickBot="1">
      <c r="A168" s="44"/>
      <c r="B168" s="18"/>
      <c r="C168" s="18"/>
      <c r="D168" s="18"/>
      <c r="E168" s="18"/>
      <c r="F168" s="18"/>
      <c r="G168" s="29"/>
      <c r="H168" s="19">
        <f>SUM(H146:H167)</f>
        <v>75250391.56794806</v>
      </c>
      <c r="I168" s="59"/>
      <c r="J168" s="18"/>
      <c r="K168" s="19">
        <f>SUM(K139:K167)</f>
        <v>46304420.981911026</v>
      </c>
      <c r="L168" s="18"/>
      <c r="M168" s="18"/>
      <c r="N168" s="45"/>
    </row>
    <row r="169" spans="1:13" ht="13.5" thickTop="1">
      <c r="A169" s="44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60"/>
    </row>
    <row r="170" spans="1:13" ht="12.75">
      <c r="A170" s="46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61"/>
    </row>
    <row r="173" spans="3:9" ht="12.75">
      <c r="C173" s="25"/>
      <c r="D173" s="26" t="s">
        <v>282</v>
      </c>
      <c r="E173" s="26"/>
      <c r="F173" s="26" t="s">
        <v>281</v>
      </c>
      <c r="G173" s="26" t="s">
        <v>35</v>
      </c>
      <c r="H173" s="26" t="s">
        <v>279</v>
      </c>
      <c r="I173" s="27"/>
    </row>
    <row r="174" spans="3:9" ht="12.75">
      <c r="C174" s="46"/>
      <c r="D174" s="32" t="s">
        <v>283</v>
      </c>
      <c r="E174" s="32"/>
      <c r="F174" s="32"/>
      <c r="G174" s="32" t="s">
        <v>278</v>
      </c>
      <c r="H174" s="32" t="s">
        <v>280</v>
      </c>
      <c r="I174" s="61"/>
    </row>
    <row r="175" spans="3:8" ht="12.75">
      <c r="C175" s="12">
        <v>1</v>
      </c>
      <c r="D175" s="12">
        <v>0</v>
      </c>
      <c r="F175" s="12">
        <v>0</v>
      </c>
      <c r="G175" s="280">
        <v>350000</v>
      </c>
      <c r="H175" s="280">
        <f>+G175</f>
        <v>350000</v>
      </c>
    </row>
    <row r="176" spans="3:8" ht="12.75">
      <c r="C176" s="12">
        <v>2</v>
      </c>
      <c r="D176" s="280">
        <f>+H175</f>
        <v>350000</v>
      </c>
      <c r="E176" s="279">
        <f>+G135/12</f>
        <v>0.0075</v>
      </c>
      <c r="F176" s="280">
        <f>+D176*(1+E176)</f>
        <v>352625</v>
      </c>
      <c r="G176" s="280">
        <f>+G175</f>
        <v>350000</v>
      </c>
      <c r="H176" s="11">
        <f>+F176+G176</f>
        <v>702625</v>
      </c>
    </row>
    <row r="177" spans="3:8" ht="12.75">
      <c r="C177" s="12">
        <v>3</v>
      </c>
      <c r="D177" s="280">
        <f>+H176</f>
        <v>702625</v>
      </c>
      <c r="E177" s="3">
        <f>+E176</f>
        <v>0.0075</v>
      </c>
      <c r="F177" s="280">
        <f aca="true" t="shared" si="36" ref="F177:F189">+D177*(1+E177)</f>
        <v>707894.6875</v>
      </c>
      <c r="G177" s="280">
        <f>+G176</f>
        <v>350000</v>
      </c>
      <c r="H177" s="11">
        <f aca="true" t="shared" si="37" ref="H177:H186">+F177+G177</f>
        <v>1057894.6875</v>
      </c>
    </row>
    <row r="178" spans="3:8" ht="12.75">
      <c r="C178" s="12">
        <v>4</v>
      </c>
      <c r="D178" s="280">
        <f>+H177</f>
        <v>1057894.6875</v>
      </c>
      <c r="E178" s="3">
        <f aca="true" t="shared" si="38" ref="E178:E186">+E177</f>
        <v>0.0075</v>
      </c>
      <c r="F178" s="280">
        <f t="shared" si="36"/>
        <v>1065828.89765625</v>
      </c>
      <c r="G178" s="280">
        <f aca="true" t="shared" si="39" ref="G178:G186">+G177</f>
        <v>350000</v>
      </c>
      <c r="H178" s="11">
        <f t="shared" si="37"/>
        <v>1415828.89765625</v>
      </c>
    </row>
    <row r="179" spans="3:8" ht="12.75">
      <c r="C179" s="12">
        <v>5</v>
      </c>
      <c r="D179" s="280">
        <f aca="true" t="shared" si="40" ref="D179:D186">+H178</f>
        <v>1415828.89765625</v>
      </c>
      <c r="E179" s="3">
        <f t="shared" si="38"/>
        <v>0.0075</v>
      </c>
      <c r="F179" s="280">
        <f t="shared" si="36"/>
        <v>1426447.614388672</v>
      </c>
      <c r="G179" s="280">
        <f t="shared" si="39"/>
        <v>350000</v>
      </c>
      <c r="H179" s="11">
        <f t="shared" si="37"/>
        <v>1776447.614388672</v>
      </c>
    </row>
    <row r="180" spans="3:8" ht="12.75">
      <c r="C180" s="12">
        <v>6</v>
      </c>
      <c r="D180" s="280">
        <f t="shared" si="40"/>
        <v>1776447.614388672</v>
      </c>
      <c r="E180" s="3">
        <f t="shared" si="38"/>
        <v>0.0075</v>
      </c>
      <c r="F180" s="280">
        <f t="shared" si="36"/>
        <v>1789770.9714965872</v>
      </c>
      <c r="G180" s="280">
        <f t="shared" si="39"/>
        <v>350000</v>
      </c>
      <c r="H180" s="11">
        <f t="shared" si="37"/>
        <v>2139770.971496587</v>
      </c>
    </row>
    <row r="181" spans="3:8" ht="12.75">
      <c r="C181" s="12">
        <v>7</v>
      </c>
      <c r="D181" s="280">
        <f t="shared" si="40"/>
        <v>2139770.971496587</v>
      </c>
      <c r="E181" s="3">
        <f t="shared" si="38"/>
        <v>0.0075</v>
      </c>
      <c r="F181" s="280">
        <f t="shared" si="36"/>
        <v>2155819.2537828116</v>
      </c>
      <c r="G181" s="280">
        <f t="shared" si="39"/>
        <v>350000</v>
      </c>
      <c r="H181" s="11">
        <f t="shared" si="37"/>
        <v>2505819.2537828116</v>
      </c>
    </row>
    <row r="182" spans="3:8" ht="12.75">
      <c r="C182" s="12">
        <v>8</v>
      </c>
      <c r="D182" s="280">
        <f t="shared" si="40"/>
        <v>2505819.2537828116</v>
      </c>
      <c r="E182" s="3">
        <f t="shared" si="38"/>
        <v>0.0075</v>
      </c>
      <c r="F182" s="280">
        <f t="shared" si="36"/>
        <v>2524612.8981861826</v>
      </c>
      <c r="G182" s="280">
        <f t="shared" si="39"/>
        <v>350000</v>
      </c>
      <c r="H182" s="11">
        <f t="shared" si="37"/>
        <v>2874612.8981861826</v>
      </c>
    </row>
    <row r="183" spans="3:8" ht="12.75">
      <c r="C183" s="12">
        <v>9</v>
      </c>
      <c r="D183" s="280">
        <f t="shared" si="40"/>
        <v>2874612.8981861826</v>
      </c>
      <c r="E183" s="3">
        <f t="shared" si="38"/>
        <v>0.0075</v>
      </c>
      <c r="F183" s="280">
        <f t="shared" si="36"/>
        <v>2896172.4949225793</v>
      </c>
      <c r="G183" s="280">
        <f t="shared" si="39"/>
        <v>350000</v>
      </c>
      <c r="H183" s="11">
        <f t="shared" si="37"/>
        <v>3246172.4949225793</v>
      </c>
    </row>
    <row r="184" spans="3:8" ht="12.75">
      <c r="C184" s="12">
        <v>10</v>
      </c>
      <c r="D184" s="280">
        <f t="shared" si="40"/>
        <v>3246172.4949225793</v>
      </c>
      <c r="E184" s="3">
        <f t="shared" si="38"/>
        <v>0.0075</v>
      </c>
      <c r="F184" s="280">
        <f t="shared" si="36"/>
        <v>3270518.7886344986</v>
      </c>
      <c r="G184" s="280">
        <f t="shared" si="39"/>
        <v>350000</v>
      </c>
      <c r="H184" s="11">
        <f t="shared" si="37"/>
        <v>3620518.7886344986</v>
      </c>
    </row>
    <row r="185" spans="3:8" ht="12.75">
      <c r="C185" s="12">
        <v>11</v>
      </c>
      <c r="D185" s="280">
        <f t="shared" si="40"/>
        <v>3620518.7886344986</v>
      </c>
      <c r="E185" s="3">
        <f t="shared" si="38"/>
        <v>0.0075</v>
      </c>
      <c r="F185" s="280">
        <f t="shared" si="36"/>
        <v>3647672.6795492577</v>
      </c>
      <c r="G185" s="280">
        <f t="shared" si="39"/>
        <v>350000</v>
      </c>
      <c r="H185" s="11">
        <f t="shared" si="37"/>
        <v>3997672.6795492577</v>
      </c>
    </row>
    <row r="186" spans="3:8" ht="12.75">
      <c r="C186" s="12">
        <v>12</v>
      </c>
      <c r="D186" s="280">
        <f t="shared" si="40"/>
        <v>3997672.6795492577</v>
      </c>
      <c r="E186" s="3">
        <f t="shared" si="38"/>
        <v>0.0075</v>
      </c>
      <c r="F186" s="280">
        <f t="shared" si="36"/>
        <v>4027655.2246458773</v>
      </c>
      <c r="G186" s="280">
        <f t="shared" si="39"/>
        <v>350000</v>
      </c>
      <c r="H186" s="11">
        <f t="shared" si="37"/>
        <v>4377655.224645877</v>
      </c>
    </row>
    <row r="187" spans="4:8" ht="12.75">
      <c r="D187" s="11"/>
      <c r="E187" s="3"/>
      <c r="F187" s="280"/>
      <c r="H187" s="11"/>
    </row>
    <row r="188" spans="4:8" ht="12.75">
      <c r="D188" s="11"/>
      <c r="E188" s="3"/>
      <c r="F188" s="280"/>
      <c r="H188" s="11"/>
    </row>
    <row r="189" spans="4:8" ht="12.75">
      <c r="D189" s="11">
        <f>+H186</f>
        <v>4377655.224645877</v>
      </c>
      <c r="E189" s="3">
        <v>0.09</v>
      </c>
      <c r="F189" s="280">
        <f t="shared" si="36"/>
        <v>4771644.194864007</v>
      </c>
      <c r="H189" s="11"/>
    </row>
    <row r="190" spans="4:8" ht="12.75">
      <c r="D190" s="11"/>
      <c r="E190" s="3"/>
      <c r="H190" s="11"/>
    </row>
    <row r="191" spans="4:8" ht="12.75">
      <c r="D191" s="11"/>
      <c r="E191" s="3"/>
      <c r="H191" s="11"/>
    </row>
    <row r="192" spans="4:8" ht="12.75">
      <c r="D192" s="11"/>
      <c r="E192" s="3"/>
      <c r="H192" s="11"/>
    </row>
    <row r="193" spans="4:8" ht="12.75">
      <c r="D193" s="11"/>
      <c r="E193" s="3"/>
      <c r="H193" s="11"/>
    </row>
    <row r="194" spans="4:8" ht="12.75">
      <c r="D194" s="11"/>
      <c r="H194" s="11"/>
    </row>
    <row r="195" ht="12.75">
      <c r="D195" s="11"/>
    </row>
    <row r="198" ht="12.75">
      <c r="G198" s="10"/>
    </row>
    <row r="199" ht="12.75">
      <c r="G199" s="10"/>
    </row>
    <row r="200" ht="12.75">
      <c r="G200" s="10"/>
    </row>
    <row r="201" ht="12.75">
      <c r="G201" s="11"/>
    </row>
    <row r="204" spans="7:8" ht="12.75">
      <c r="G204" s="10"/>
      <c r="H204" s="5"/>
    </row>
  </sheetData>
  <sheetProtection/>
  <mergeCells count="1">
    <mergeCell ref="J3:K3"/>
  </mergeCells>
  <conditionalFormatting sqref="I102 H169:I170 H125:I128 F138:G170 H129:H168 J121:J170 A129:E170 D121:E128 A118:C128 E118:G118 G109:G117 E115:F117 G119:G133 F121:F137 I129:I132 J109:J117 L125:L170 J109:K109 E98:E101 E103 F102 G98:G103 H109:H124 I104:I126 I118:J120 E104:H108 H106:J108 L106:M108 K106:K170 K80:K96 I97 I73:J79 H46:J47 A1:A47 E1:E38 E46:E61 H71:H72 G70:I70 I71:I79 F1:F50 G51 F55:F72 B1:C117 G73:G95 L1:L96 L104:L120 K1:K72 I48:J51 H66:H67 A49:A61 H80:I86 H92:I96 I87:I91 G85:I86 F80:F96 G1:J45 M1:M170 AE1:IV65536 AD17:AD65536 AD1:AD15 E66:E96 J104:K104 H195:H65536 F190:F65536 G197:G65536 I184:M65536 A184:C65536 D196:D65536 E194:E65536 N1:N65536 P1:AC65536 O1:O45 D1:D120 G52:J64 O50:O73 A63:A75 A77:A117 J65:J103 O79:O85 O93:O65536 H88:H89">
    <cfRule type="cellIs" priority="9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="140" zoomScaleNormal="140" zoomScalePageLayoutView="0" workbookViewId="0" topLeftCell="A14">
      <selection activeCell="C24" sqref="C24:J24"/>
    </sheetView>
  </sheetViews>
  <sheetFormatPr defaultColWidth="9.140625" defaultRowHeight="12.75"/>
  <cols>
    <col min="1" max="1" width="4.7109375" style="0" customWidth="1"/>
    <col min="3" max="3" width="12.8515625" style="0" customWidth="1"/>
    <col min="4" max="4" width="9.28125" style="0" bestFit="1" customWidth="1"/>
    <col min="5" max="5" width="4.7109375" style="0" customWidth="1"/>
    <col min="6" max="6" width="9.28125" style="0" bestFit="1" customWidth="1"/>
    <col min="7" max="7" width="4.00390625" style="0" customWidth="1"/>
    <col min="8" max="8" width="11.28125" style="0" bestFit="1" customWidth="1"/>
    <col min="9" max="9" width="3.57421875" style="0" customWidth="1"/>
    <col min="10" max="10" width="11.7109375" style="140" customWidth="1"/>
    <col min="11" max="11" width="9.140625" style="141" customWidth="1"/>
  </cols>
  <sheetData>
    <row r="1" spans="3:11" ht="9" customHeight="1">
      <c r="C1" s="124" t="s">
        <v>272</v>
      </c>
      <c r="D1" s="125"/>
      <c r="E1" s="125"/>
      <c r="F1" s="125"/>
      <c r="G1" s="125"/>
      <c r="H1" s="125"/>
      <c r="I1" s="125" t="s">
        <v>194</v>
      </c>
      <c r="J1" s="126"/>
      <c r="K1" s="226"/>
    </row>
    <row r="2" spans="1:11" ht="13.5" customHeight="1">
      <c r="A2" s="127"/>
      <c r="B2" s="127"/>
      <c r="C2" s="127"/>
      <c r="D2" s="127" t="s">
        <v>195</v>
      </c>
      <c r="E2" s="127"/>
      <c r="F2" s="127"/>
      <c r="G2" s="127"/>
      <c r="H2" s="127"/>
      <c r="I2" s="127"/>
      <c r="J2" s="128"/>
      <c r="K2" s="227"/>
    </row>
    <row r="3" spans="1:11" ht="18.75" customHeight="1">
      <c r="A3" s="129"/>
      <c r="B3" s="129"/>
      <c r="C3" s="130" t="s">
        <v>30</v>
      </c>
      <c r="D3" s="130" t="s">
        <v>196</v>
      </c>
      <c r="E3" s="130"/>
      <c r="F3" s="189" t="s">
        <v>197</v>
      </c>
      <c r="G3" s="130"/>
      <c r="H3" s="189" t="s">
        <v>198</v>
      </c>
      <c r="I3" s="130"/>
      <c r="J3" s="188" t="s">
        <v>199</v>
      </c>
      <c r="K3" s="228" t="s">
        <v>271</v>
      </c>
    </row>
    <row r="4" spans="2:11" ht="15">
      <c r="B4">
        <v>0</v>
      </c>
      <c r="C4" s="131" t="s">
        <v>200</v>
      </c>
      <c r="D4" s="132">
        <v>274.45</v>
      </c>
      <c r="E4" s="132"/>
      <c r="F4" s="133">
        <v>292.31002</v>
      </c>
      <c r="G4" s="133"/>
      <c r="H4" s="133">
        <v>31342.1836</v>
      </c>
      <c r="I4" s="134"/>
      <c r="J4" s="135">
        <v>12811.3217</v>
      </c>
      <c r="K4" s="229"/>
    </row>
    <row r="5" spans="2:11" ht="15">
      <c r="B5">
        <v>1</v>
      </c>
      <c r="C5" s="131" t="s">
        <v>201</v>
      </c>
      <c r="D5" s="132">
        <v>276.5</v>
      </c>
      <c r="E5" s="132"/>
      <c r="F5" s="133">
        <v>310.53459000000004</v>
      </c>
      <c r="G5" s="133"/>
      <c r="H5" s="133">
        <v>36238.0893</v>
      </c>
      <c r="I5" s="134"/>
      <c r="J5" s="135">
        <v>13332.8261</v>
      </c>
      <c r="K5" s="230">
        <f aca="true" t="shared" si="0" ref="K5:K10">(+J5-J4)/J4</f>
        <v>0.040706526009724645</v>
      </c>
    </row>
    <row r="6" spans="2:11" ht="15">
      <c r="B6">
        <v>2</v>
      </c>
      <c r="C6" s="131" t="s">
        <v>202</v>
      </c>
      <c r="D6" s="132">
        <v>347.2</v>
      </c>
      <c r="E6" s="132"/>
      <c r="F6" s="133">
        <v>330.85567000000003</v>
      </c>
      <c r="G6" s="133"/>
      <c r="H6" s="133">
        <v>41202.2176</v>
      </c>
      <c r="I6" s="134"/>
      <c r="J6" s="135">
        <v>16648.2366</v>
      </c>
      <c r="K6" s="230">
        <f t="shared" si="0"/>
        <v>0.2486652473476722</v>
      </c>
    </row>
    <row r="7" spans="2:11" ht="15" hidden="1">
      <c r="B7">
        <v>3</v>
      </c>
      <c r="C7" s="131" t="s">
        <v>203</v>
      </c>
      <c r="D7" s="132">
        <v>416.25</v>
      </c>
      <c r="E7" s="132"/>
      <c r="F7" s="133">
        <v>330.00355</v>
      </c>
      <c r="G7" s="133"/>
      <c r="H7" s="133">
        <v>44609.5117</v>
      </c>
      <c r="I7" s="134"/>
      <c r="J7" s="135">
        <v>18991.406300000002</v>
      </c>
      <c r="K7" s="230">
        <f t="shared" si="0"/>
        <v>0.14074581928995425</v>
      </c>
    </row>
    <row r="8" spans="2:11" ht="15" hidden="1">
      <c r="B8">
        <v>4</v>
      </c>
      <c r="C8" s="131" t="s">
        <v>204</v>
      </c>
      <c r="D8" s="132">
        <v>435.6</v>
      </c>
      <c r="E8" s="132"/>
      <c r="F8" s="133">
        <v>320.47074000000003</v>
      </c>
      <c r="G8" s="133"/>
      <c r="H8" s="133">
        <v>44635.9109</v>
      </c>
      <c r="I8" s="134"/>
      <c r="J8" s="135">
        <v>18935.519500000002</v>
      </c>
      <c r="K8" s="230">
        <f t="shared" si="0"/>
        <v>-0.002942741528309055</v>
      </c>
    </row>
    <row r="9" spans="2:11" ht="15" hidden="1">
      <c r="B9">
        <v>5</v>
      </c>
      <c r="C9" s="131" t="s">
        <v>205</v>
      </c>
      <c r="D9" s="132">
        <v>513</v>
      </c>
      <c r="E9" s="132"/>
      <c r="F9" s="133">
        <v>434.91159000000005</v>
      </c>
      <c r="G9" s="133"/>
      <c r="H9" s="133">
        <v>60549.3894</v>
      </c>
      <c r="I9" s="134"/>
      <c r="J9" s="135">
        <v>23090.127200000003</v>
      </c>
      <c r="K9" s="230">
        <f t="shared" si="0"/>
        <v>0.2194081709773001</v>
      </c>
    </row>
    <row r="10" spans="2:11" ht="15" hidden="1">
      <c r="B10">
        <v>6</v>
      </c>
      <c r="C10" s="131" t="s">
        <v>206</v>
      </c>
      <c r="D10" s="132">
        <v>632</v>
      </c>
      <c r="E10" s="132"/>
      <c r="F10" s="133">
        <v>479.27804000000003</v>
      </c>
      <c r="G10" s="133"/>
      <c r="H10" s="133">
        <v>75305.9592</v>
      </c>
      <c r="I10" s="134"/>
      <c r="J10" s="135">
        <v>27972.3165</v>
      </c>
      <c r="K10" s="230">
        <f t="shared" si="0"/>
        <v>0.21144055455874655</v>
      </c>
    </row>
    <row r="11" spans="2:11" ht="15">
      <c r="B11">
        <v>7</v>
      </c>
      <c r="C11" s="131" t="s">
        <v>207</v>
      </c>
      <c r="D11" s="132">
        <v>833.75</v>
      </c>
      <c r="E11" s="132"/>
      <c r="F11" s="133">
        <v>570.2609100000001</v>
      </c>
      <c r="G11" s="133"/>
      <c r="H11" s="133">
        <v>93142.3782</v>
      </c>
      <c r="I11" s="134"/>
      <c r="J11" s="135">
        <v>32862.250700000004</v>
      </c>
      <c r="K11" s="230">
        <f aca="true" t="shared" si="1" ref="K11:K17">(+J11-J10)/J10</f>
        <v>0.17481334447220356</v>
      </c>
    </row>
    <row r="12" spans="2:11" ht="15">
      <c r="B12">
        <v>8</v>
      </c>
      <c r="C12" s="131" t="s">
        <v>208</v>
      </c>
      <c r="D12" s="132">
        <v>869.75</v>
      </c>
      <c r="E12" s="132"/>
      <c r="F12" s="133">
        <v>625.6969</v>
      </c>
      <c r="G12" s="133"/>
      <c r="H12" s="133">
        <v>78842.8322</v>
      </c>
      <c r="I12" s="134"/>
      <c r="J12" s="135">
        <v>42374.207800000004</v>
      </c>
      <c r="K12" s="230">
        <f t="shared" si="1"/>
        <v>0.28944934985843795</v>
      </c>
    </row>
    <row r="13" spans="2:11" ht="15">
      <c r="B13">
        <v>9</v>
      </c>
      <c r="C13" s="131" t="s">
        <v>209</v>
      </c>
      <c r="D13" s="132">
        <v>1087.5</v>
      </c>
      <c r="E13" s="132"/>
      <c r="F13" s="133">
        <v>757.97171</v>
      </c>
      <c r="G13" s="133"/>
      <c r="H13" s="133">
        <v>101240.7972</v>
      </c>
      <c r="I13" s="134"/>
      <c r="J13" s="135">
        <v>50606.799900000005</v>
      </c>
      <c r="K13" s="230">
        <f t="shared" si="1"/>
        <v>0.19428309170655458</v>
      </c>
    </row>
    <row r="14" spans="2:11" ht="15">
      <c r="B14">
        <v>10</v>
      </c>
      <c r="C14" s="131" t="s">
        <v>210</v>
      </c>
      <c r="D14" s="132">
        <v>1405.5</v>
      </c>
      <c r="E14" s="132"/>
      <c r="F14" s="133">
        <v>1047.66876</v>
      </c>
      <c r="G14" s="133"/>
      <c r="H14" s="133">
        <v>113993.0715</v>
      </c>
      <c r="I14" s="134"/>
      <c r="J14" s="135">
        <v>62846.9274</v>
      </c>
      <c r="K14" s="230">
        <f t="shared" si="1"/>
        <v>0.24186724954327715</v>
      </c>
    </row>
    <row r="15" spans="2:11" ht="18.75">
      <c r="B15">
        <v>11</v>
      </c>
      <c r="C15" s="136" t="s">
        <v>211</v>
      </c>
      <c r="D15" s="137">
        <v>1531</v>
      </c>
      <c r="E15" s="137"/>
      <c r="F15" s="137">
        <v>1179.3714200000002</v>
      </c>
      <c r="G15" s="137"/>
      <c r="H15" s="137">
        <v>117795.1204</v>
      </c>
      <c r="I15" s="138"/>
      <c r="J15" s="139">
        <v>81303.7485</v>
      </c>
      <c r="K15" s="230">
        <f t="shared" si="1"/>
        <v>0.29367897307896074</v>
      </c>
    </row>
    <row r="16" spans="2:11" ht="18.75">
      <c r="B16">
        <v>12</v>
      </c>
      <c r="C16" s="143">
        <v>2012</v>
      </c>
      <c r="D16" s="137">
        <v>1657.5</v>
      </c>
      <c r="E16" s="137"/>
      <c r="F16" s="137">
        <v>1257.20621</v>
      </c>
      <c r="G16" s="137"/>
      <c r="H16" s="137">
        <v>143315.73140000002</v>
      </c>
      <c r="I16" s="138"/>
      <c r="J16" s="139">
        <v>90814.4139</v>
      </c>
      <c r="K16" s="230">
        <f t="shared" si="1"/>
        <v>0.11697696078551652</v>
      </c>
    </row>
    <row r="17" spans="2:11" ht="18.75">
      <c r="B17">
        <v>13</v>
      </c>
      <c r="C17" s="143" t="s">
        <v>256</v>
      </c>
      <c r="D17" s="137">
        <v>1390</v>
      </c>
      <c r="E17" s="137"/>
      <c r="F17" s="137">
        <v>1073</v>
      </c>
      <c r="G17" s="137"/>
      <c r="H17" s="137">
        <v>140408</v>
      </c>
      <c r="I17" s="138"/>
      <c r="J17" s="139">
        <v>77266</v>
      </c>
      <c r="K17" s="230">
        <f t="shared" si="1"/>
        <v>-0.14918792423104543</v>
      </c>
    </row>
    <row r="18" ht="15.75">
      <c r="C18" s="89" t="s">
        <v>257</v>
      </c>
    </row>
    <row r="19" spans="3:11" ht="15.75">
      <c r="C19" s="89" t="s">
        <v>214</v>
      </c>
      <c r="D19" s="123">
        <f>((+D16/+D4)^(1/12)-1)</f>
        <v>0.16166933468230238</v>
      </c>
      <c r="E19" s="123"/>
      <c r="F19" s="123">
        <f>((+F16/+F4)^(1/12)-1)</f>
        <v>0.12926768668250155</v>
      </c>
      <c r="G19" s="123"/>
      <c r="H19" s="123">
        <f>((+H16/+H4)^(1/12)-1)</f>
        <v>0.13504666724614123</v>
      </c>
      <c r="I19" s="123"/>
      <c r="J19" s="123">
        <f>((+J16/+J4)^(1/12)-1)</f>
        <v>0.1772808254107323</v>
      </c>
      <c r="K19" s="123"/>
    </row>
    <row r="20" ht="10.5" customHeight="1" hidden="1">
      <c r="C20" s="89"/>
    </row>
    <row r="21" spans="3:10" ht="15.75">
      <c r="C21" s="89" t="s">
        <v>212</v>
      </c>
      <c r="D21" s="123">
        <f>((+D16/+D11)^(1/5)-1)</f>
        <v>0.14731728895811624</v>
      </c>
      <c r="F21" s="123">
        <f>((+F16/+F11)^(1/5)-1)</f>
        <v>0.17129579177258702</v>
      </c>
      <c r="H21" s="123">
        <f>((+H16/+H11)^(1/5)-1)</f>
        <v>0.09000705368609907</v>
      </c>
      <c r="J21" s="123">
        <f>((+J16/+J11)^(1/5)-1)</f>
        <v>0.22543843061244506</v>
      </c>
    </row>
    <row r="22" ht="9" customHeight="1" hidden="1">
      <c r="C22" s="89"/>
    </row>
    <row r="23" spans="3:10" ht="15.75">
      <c r="C23" s="89" t="s">
        <v>215</v>
      </c>
      <c r="D23" s="123">
        <f>((+D16/+D13)^(1/3)-1)</f>
        <v>0.15082182743497707</v>
      </c>
      <c r="F23" s="123">
        <f>((+F16/+F13)^(1/3)-1)</f>
        <v>0.18372596414456277</v>
      </c>
      <c r="H23" s="123">
        <f>((+H16/+H13)^(1/3)-1)</f>
        <v>0.12282679847624123</v>
      </c>
      <c r="J23" s="123">
        <f>((+J16/+J13)^(1/3)-1)</f>
        <v>0.21520244938495892</v>
      </c>
    </row>
    <row r="25" ht="15.75">
      <c r="C25" s="89" t="s">
        <v>258</v>
      </c>
    </row>
    <row r="26" spans="3:11" ht="15.75">
      <c r="C26" s="89" t="s">
        <v>214</v>
      </c>
      <c r="D26" s="123">
        <f>((+D17/+D5)^(1/12)-1)</f>
        <v>0.14404552158763995</v>
      </c>
      <c r="E26" s="123"/>
      <c r="F26" s="123">
        <f>((+F17/+F5)^(1/12)-1)</f>
        <v>0.10885343186952201</v>
      </c>
      <c r="G26" s="123"/>
      <c r="H26" s="123">
        <f>((+H17/+H5)^(1/12)-1)</f>
        <v>0.11948655013448861</v>
      </c>
      <c r="I26" s="123"/>
      <c r="J26" s="123">
        <f>((+J17/+J5)^(1/12)-1)</f>
        <v>0.15768085499322848</v>
      </c>
      <c r="K26" s="123"/>
    </row>
    <row r="27" ht="15.75" hidden="1">
      <c r="C27" s="89"/>
    </row>
    <row r="28" spans="3:10" ht="15.75">
      <c r="C28" s="89" t="s">
        <v>212</v>
      </c>
      <c r="D28" s="123">
        <f>((+D17/+D12)^(1/5)-1)</f>
        <v>0.09830781180336179</v>
      </c>
      <c r="F28" s="123">
        <f>((+F17/+F12)^(1/5)-1)</f>
        <v>0.11390241042531746</v>
      </c>
      <c r="H28" s="123">
        <f>((+H17/+H12)^(1/5)-1)</f>
        <v>0.12234384009317711</v>
      </c>
      <c r="J28" s="123">
        <f>((+J17/+J12)^(1/5)-1)</f>
        <v>0.1276579019971973</v>
      </c>
    </row>
    <row r="29" ht="15.75" hidden="1">
      <c r="C29" s="89"/>
    </row>
    <row r="30" spans="3:10" ht="15.75">
      <c r="C30" s="89" t="s">
        <v>215</v>
      </c>
      <c r="D30" s="123">
        <f>((+D17/+D14)^(1/3)-1)</f>
        <v>-0.0036896312619408844</v>
      </c>
      <c r="F30" s="123">
        <f>((+F17/+F14)^(1/3)-1)</f>
        <v>0.007995459798367577</v>
      </c>
      <c r="H30" s="123">
        <f>((+H17/+H14)^(1/3)-1)</f>
        <v>0.07194161755679751</v>
      </c>
      <c r="J30" s="123">
        <f>((+J17/+J14)^(1/3)-1)</f>
        <v>0.07127620854826566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J21"/>
  <sheetViews>
    <sheetView zoomScale="130" zoomScaleNormal="130" zoomScalePageLayoutView="0" workbookViewId="0" topLeftCell="A10">
      <selection activeCell="I21" sqref="I21"/>
    </sheetView>
  </sheetViews>
  <sheetFormatPr defaultColWidth="9.140625" defaultRowHeight="12.75"/>
  <cols>
    <col min="3" max="3" width="12.140625" style="0" customWidth="1"/>
    <col min="4" max="4" width="12.8515625" style="0" customWidth="1"/>
    <col min="5" max="5" width="10.421875" style="0" bestFit="1" customWidth="1"/>
    <col min="6" max="6" width="4.7109375" style="0" customWidth="1"/>
    <col min="7" max="7" width="13.28125" style="0" customWidth="1"/>
    <col min="8" max="8" width="8.28125" style="0" customWidth="1"/>
    <col min="9" max="9" width="10.421875" style="0" customWidth="1"/>
  </cols>
  <sheetData>
    <row r="1" spans="3:10" ht="15.75">
      <c r="C1" s="141"/>
      <c r="D1" s="141"/>
      <c r="E1" s="141"/>
      <c r="F1" s="231"/>
      <c r="G1" s="141"/>
      <c r="H1" s="141"/>
      <c r="I1" s="141"/>
      <c r="J1" s="141"/>
    </row>
    <row r="2" spans="3:10" ht="15.75">
      <c r="C2" s="141"/>
      <c r="D2" s="141"/>
      <c r="E2" s="232" t="s">
        <v>248</v>
      </c>
      <c r="F2" s="231"/>
      <c r="G2" s="141"/>
      <c r="H2" s="141"/>
      <c r="I2" s="232" t="s">
        <v>260</v>
      </c>
      <c r="J2" s="141"/>
    </row>
    <row r="3" spans="3:10" ht="15.75">
      <c r="C3" s="141"/>
      <c r="D3" s="141"/>
      <c r="E3" s="141"/>
      <c r="F3" s="231"/>
      <c r="G3" s="141"/>
      <c r="H3" s="141"/>
      <c r="I3" s="141"/>
      <c r="J3" s="141"/>
    </row>
    <row r="4" spans="3:10" ht="15.75">
      <c r="C4" s="235">
        <v>26176</v>
      </c>
      <c r="D4" s="141"/>
      <c r="E4" s="141">
        <v>40.7</v>
      </c>
      <c r="F4" s="231"/>
      <c r="G4" s="235">
        <v>28945</v>
      </c>
      <c r="H4" s="141"/>
      <c r="I4" s="140">
        <v>4189</v>
      </c>
      <c r="J4" s="141"/>
    </row>
    <row r="5" spans="3:10" ht="15.75">
      <c r="C5" s="141" t="s">
        <v>259</v>
      </c>
      <c r="D5" s="233">
        <v>26160</v>
      </c>
      <c r="E5" s="141"/>
      <c r="F5" s="231"/>
      <c r="G5" s="141"/>
      <c r="H5" s="141"/>
      <c r="I5" s="140"/>
      <c r="J5" s="141"/>
    </row>
    <row r="6" spans="3:10" ht="15.75">
      <c r="C6" s="141"/>
      <c r="D6" s="141"/>
      <c r="E6" s="141"/>
      <c r="F6" s="231"/>
      <c r="G6" s="141"/>
      <c r="H6" s="141"/>
      <c r="I6" s="140"/>
      <c r="J6" s="141"/>
    </row>
    <row r="7" spans="3:10" ht="15.75">
      <c r="C7" s="235">
        <v>41421</v>
      </c>
      <c r="D7" s="141"/>
      <c r="E7" s="141">
        <v>1469</v>
      </c>
      <c r="F7" s="231"/>
      <c r="G7" s="235">
        <v>41421</v>
      </c>
      <c r="H7" s="141"/>
      <c r="I7" s="140">
        <v>77242</v>
      </c>
      <c r="J7" s="141"/>
    </row>
    <row r="8" spans="3:10" ht="15.75">
      <c r="C8" s="141"/>
      <c r="D8" s="141"/>
      <c r="E8" s="141"/>
      <c r="F8" s="231"/>
      <c r="G8" s="141"/>
      <c r="H8" s="141"/>
      <c r="I8" s="141"/>
      <c r="J8" s="141"/>
    </row>
    <row r="9" spans="3:10" ht="15.75">
      <c r="C9" s="141" t="s">
        <v>166</v>
      </c>
      <c r="D9" s="141"/>
      <c r="E9" s="142">
        <f>(+C7-C4)/365</f>
        <v>41.76712328767123</v>
      </c>
      <c r="F9" s="231"/>
      <c r="G9" s="141"/>
      <c r="H9" s="141"/>
      <c r="I9" s="142">
        <f>(+G7-G4)/365</f>
        <v>34.18082191780822</v>
      </c>
      <c r="J9" s="141"/>
    </row>
    <row r="10" spans="3:10" ht="15.75">
      <c r="C10" s="141"/>
      <c r="D10" s="141"/>
      <c r="E10" s="141"/>
      <c r="F10" s="231"/>
      <c r="G10" s="141"/>
      <c r="H10" s="141"/>
      <c r="I10" s="141"/>
      <c r="J10" s="141"/>
    </row>
    <row r="11" spans="3:10" ht="15.75">
      <c r="C11" s="160">
        <v>0.04</v>
      </c>
      <c r="D11" s="141"/>
      <c r="E11" s="234">
        <f>+E$4*(1+C11)^E$9</f>
        <v>209.4247432685978</v>
      </c>
      <c r="F11" s="231"/>
      <c r="G11" s="160">
        <v>0.04</v>
      </c>
      <c r="H11" s="141"/>
      <c r="I11" s="234">
        <f>+I$4*(1+G11)^I$9</f>
        <v>16007.514268064582</v>
      </c>
      <c r="J11" s="141"/>
    </row>
    <row r="12" spans="3:10" ht="15.75">
      <c r="C12" s="141"/>
      <c r="D12" s="141"/>
      <c r="E12" s="234"/>
      <c r="F12" s="231"/>
      <c r="G12" s="141"/>
      <c r="H12" s="141"/>
      <c r="I12" s="234"/>
      <c r="J12" s="141"/>
    </row>
    <row r="13" spans="3:10" ht="15.75">
      <c r="C13" s="160">
        <v>0.08</v>
      </c>
      <c r="D13" s="141"/>
      <c r="E13" s="234">
        <f>+E$4*(1+C13)^E$9</f>
        <v>1012.9978541441919</v>
      </c>
      <c r="F13" s="231"/>
      <c r="G13" s="160">
        <v>0.08</v>
      </c>
      <c r="H13" s="141"/>
      <c r="I13" s="234">
        <f>+I$4*(1+G13)^I$9</f>
        <v>58151.616864814416</v>
      </c>
      <c r="J13" s="141"/>
    </row>
    <row r="14" spans="3:10" ht="15.75">
      <c r="C14" s="141"/>
      <c r="D14" s="141"/>
      <c r="E14" s="234"/>
      <c r="F14" s="231"/>
      <c r="G14" s="141"/>
      <c r="H14" s="141"/>
      <c r="I14" s="234"/>
      <c r="J14" s="141"/>
    </row>
    <row r="15" spans="3:10" ht="15.75">
      <c r="C15" s="160">
        <v>0.09</v>
      </c>
      <c r="D15" s="141"/>
      <c r="E15" s="234">
        <f>+E$4*(1+C15)^E$9</f>
        <v>1488.6464391945408</v>
      </c>
      <c r="F15" s="231"/>
      <c r="G15" s="160">
        <v>0.09</v>
      </c>
      <c r="H15" s="141"/>
      <c r="I15" s="234">
        <f>+I$4*(1+G15)^I$9</f>
        <v>79685.41182554985</v>
      </c>
      <c r="J15" s="141"/>
    </row>
    <row r="16" spans="3:10" ht="15.75">
      <c r="C16" s="141"/>
      <c r="D16" s="141"/>
      <c r="E16" s="141"/>
      <c r="F16" s="231"/>
      <c r="G16" s="141"/>
      <c r="H16" s="141"/>
      <c r="I16" s="141"/>
      <c r="J16" s="141"/>
    </row>
    <row r="17" spans="3:10" ht="15.75">
      <c r="C17" s="141"/>
      <c r="D17" s="141"/>
      <c r="E17" s="141"/>
      <c r="F17" s="231"/>
      <c r="G17" s="141"/>
      <c r="H17" s="141"/>
      <c r="I17" s="141"/>
      <c r="J17" s="141"/>
    </row>
    <row r="18" spans="3:10" ht="15.75">
      <c r="C18" s="141"/>
      <c r="D18" s="141"/>
      <c r="E18" s="123">
        <f>((+E7/+E4)^(1/+E9)-1)</f>
        <v>0.08965334550177073</v>
      </c>
      <c r="F18" s="231"/>
      <c r="G18" s="141"/>
      <c r="H18" s="141"/>
      <c r="I18" s="123">
        <f>((+I7/+I4)^(1/+I9)-1)</f>
        <v>0.08900732035497594</v>
      </c>
      <c r="J18" s="141"/>
    </row>
    <row r="19" spans="3:10" ht="15.75">
      <c r="C19" s="141"/>
      <c r="D19" s="141"/>
      <c r="E19" s="141"/>
      <c r="F19" s="231"/>
      <c r="G19" s="141"/>
      <c r="H19" s="141"/>
      <c r="I19" s="141"/>
      <c r="J19" s="141"/>
    </row>
    <row r="20" spans="3:10" ht="15.75">
      <c r="C20" s="235">
        <v>41274</v>
      </c>
      <c r="D20" s="142">
        <f>(+C20-C4)/365</f>
        <v>41.364383561643834</v>
      </c>
      <c r="E20" s="141">
        <v>1658</v>
      </c>
      <c r="F20" s="231"/>
      <c r="G20" s="235">
        <v>41274</v>
      </c>
      <c r="H20" s="142">
        <f>(+G20-G4)/365</f>
        <v>33.778082191780825</v>
      </c>
      <c r="I20" s="141">
        <v>90814</v>
      </c>
      <c r="J20" s="141"/>
    </row>
    <row r="21" spans="3:10" ht="15.75">
      <c r="C21" s="141"/>
      <c r="E21" s="123">
        <f>((+E20/+E4)^(1/+D20)-1)</f>
        <v>0.09376024729947074</v>
      </c>
      <c r="F21" s="231"/>
      <c r="G21" s="141"/>
      <c r="I21" s="123">
        <f>((+I20/+I4)^(1/+H20)-1)</f>
        <v>0.09535156149472468</v>
      </c>
      <c r="J21" s="1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6">
      <selection activeCell="S23" sqref="S23:T23"/>
    </sheetView>
  </sheetViews>
  <sheetFormatPr defaultColWidth="9.140625" defaultRowHeight="12.75"/>
  <cols>
    <col min="2" max="2" width="10.421875" style="0" bestFit="1" customWidth="1"/>
    <col min="3" max="4" width="10.00390625" style="0" bestFit="1" customWidth="1"/>
    <col min="5" max="5" width="10.421875" style="0" customWidth="1"/>
    <col min="6" max="6" width="10.00390625" style="0" bestFit="1" customWidth="1"/>
    <col min="11" max="11" width="10.00390625" style="0" bestFit="1" customWidth="1"/>
    <col min="12" max="12" width="9.28125" style="0" bestFit="1" customWidth="1"/>
    <col min="13" max="13" width="10.00390625" style="0" bestFit="1" customWidth="1"/>
  </cols>
  <sheetData>
    <row r="1" spans="17:19" ht="12.75">
      <c r="Q1" t="s">
        <v>261</v>
      </c>
      <c r="S1" t="s">
        <v>263</v>
      </c>
    </row>
    <row r="2" spans="2:19" ht="12.75">
      <c r="B2" t="s">
        <v>30</v>
      </c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Q2" t="s">
        <v>262</v>
      </c>
      <c r="S2" t="s">
        <v>262</v>
      </c>
    </row>
    <row r="3" spans="1:16" ht="15.75">
      <c r="A3">
        <v>0</v>
      </c>
      <c r="B3">
        <v>1991</v>
      </c>
      <c r="C3" s="191">
        <v>1027.38</v>
      </c>
      <c r="D3" s="191">
        <v>1955.29</v>
      </c>
      <c r="E3" s="191">
        <v>947.14</v>
      </c>
      <c r="F3" s="191">
        <v>1908.85</v>
      </c>
      <c r="G3" s="190">
        <v>22.3</v>
      </c>
      <c r="H3" s="190">
        <v>3.58</v>
      </c>
      <c r="I3" s="190">
        <v>1.24</v>
      </c>
      <c r="K3" s="191">
        <v>25000</v>
      </c>
      <c r="L3" s="191">
        <f>+K3*I3%</f>
        <v>310</v>
      </c>
      <c r="M3" s="191">
        <f>+K3+L3</f>
        <v>25310</v>
      </c>
      <c r="O3" s="193">
        <f>(+F3-C3)/+C3</f>
        <v>0.8579785473729289</v>
      </c>
      <c r="P3" s="193"/>
    </row>
    <row r="4" spans="1:16" ht="15.75">
      <c r="A4">
        <f>+A3+1</f>
        <v>1</v>
      </c>
      <c r="B4">
        <v>1992</v>
      </c>
      <c r="C4" s="191">
        <v>1957.33</v>
      </c>
      <c r="D4" s="191">
        <v>4546.58</v>
      </c>
      <c r="E4" s="191">
        <v>1945.48</v>
      </c>
      <c r="F4" s="191">
        <v>2615.37</v>
      </c>
      <c r="G4" s="190">
        <v>36.19</v>
      </c>
      <c r="H4" s="190">
        <v>6.35</v>
      </c>
      <c r="I4" s="190">
        <v>0.8</v>
      </c>
      <c r="K4" s="191">
        <f>+M3</f>
        <v>25310</v>
      </c>
      <c r="L4" s="191">
        <f aca="true" t="shared" si="0" ref="L4:L24">+K4*I4%</f>
        <v>202.48000000000002</v>
      </c>
      <c r="M4" s="191">
        <f>+K4+L4</f>
        <v>25512.48</v>
      </c>
      <c r="O4" s="193">
        <f aca="true" t="shared" si="1" ref="O4:O25">(+F4-C4)/+C4</f>
        <v>0.3361926706278451</v>
      </c>
      <c r="P4" s="193"/>
    </row>
    <row r="5" spans="1:18" ht="21">
      <c r="A5">
        <f aca="true" t="shared" si="2" ref="A5:A24">+A4+1</f>
        <v>2</v>
      </c>
      <c r="B5">
        <v>1993</v>
      </c>
      <c r="C5" s="191">
        <v>2617.78</v>
      </c>
      <c r="D5" s="191">
        <v>3459.07</v>
      </c>
      <c r="E5" s="191">
        <v>1980.06</v>
      </c>
      <c r="F5" s="191">
        <v>3346.06</v>
      </c>
      <c r="G5" s="190">
        <v>31.78</v>
      </c>
      <c r="H5" s="190">
        <v>4.81</v>
      </c>
      <c r="I5" s="190">
        <v>0.98</v>
      </c>
      <c r="K5" s="191">
        <f>+M4</f>
        <v>25512.48</v>
      </c>
      <c r="L5" s="191">
        <f t="shared" si="0"/>
        <v>250.022304</v>
      </c>
      <c r="M5" s="191">
        <f aca="true" t="shared" si="3" ref="M5:M24">+K5+L5</f>
        <v>25762.502303999998</v>
      </c>
      <c r="O5" s="193">
        <f t="shared" si="1"/>
        <v>0.2782051967697819</v>
      </c>
      <c r="P5" s="193"/>
      <c r="Q5" s="288"/>
      <c r="R5" s="288"/>
    </row>
    <row r="6" spans="1:18" ht="21">
      <c r="A6">
        <f t="shared" si="2"/>
        <v>3</v>
      </c>
      <c r="B6">
        <v>1994</v>
      </c>
      <c r="C6" s="191">
        <v>3436.87</v>
      </c>
      <c r="D6" s="191">
        <v>4643.31</v>
      </c>
      <c r="E6" s="191">
        <v>3405.88</v>
      </c>
      <c r="F6" s="191">
        <v>3926.9</v>
      </c>
      <c r="G6" s="190">
        <v>45.45</v>
      </c>
      <c r="H6" s="190">
        <v>6.07</v>
      </c>
      <c r="I6" s="190">
        <v>0.68</v>
      </c>
      <c r="K6" s="191">
        <f aca="true" t="shared" si="4" ref="K6:K24">+M5</f>
        <v>25762.502303999998</v>
      </c>
      <c r="L6" s="191">
        <f t="shared" si="0"/>
        <v>175.1850156672</v>
      </c>
      <c r="M6" s="191">
        <f t="shared" si="3"/>
        <v>25937.6873196672</v>
      </c>
      <c r="O6" s="193">
        <f t="shared" si="1"/>
        <v>0.14258031290098264</v>
      </c>
      <c r="P6" s="193"/>
      <c r="Q6" s="288">
        <f>((+C6/+C3)^(1/3)-1)</f>
        <v>0.4955835030544844</v>
      </c>
      <c r="R6" s="288"/>
    </row>
    <row r="7" spans="1:16" ht="15.75">
      <c r="A7">
        <f t="shared" si="2"/>
        <v>4</v>
      </c>
      <c r="B7">
        <v>1995</v>
      </c>
      <c r="C7" s="191">
        <v>3910.16</v>
      </c>
      <c r="D7" s="191">
        <v>3943.66</v>
      </c>
      <c r="E7" s="191">
        <v>2891.45</v>
      </c>
      <c r="F7" s="191">
        <v>3110.49</v>
      </c>
      <c r="G7" s="190">
        <v>23.63</v>
      </c>
      <c r="H7" s="190">
        <v>3.81</v>
      </c>
      <c r="I7" s="190">
        <v>1.13</v>
      </c>
      <c r="K7" s="191">
        <f t="shared" si="4"/>
        <v>25937.6873196672</v>
      </c>
      <c r="L7" s="191">
        <f t="shared" si="0"/>
        <v>293.09586671223934</v>
      </c>
      <c r="M7" s="191">
        <f t="shared" si="3"/>
        <v>26230.783186379438</v>
      </c>
      <c r="O7" s="193">
        <f t="shared" si="1"/>
        <v>-0.20451081285676292</v>
      </c>
      <c r="P7" s="193"/>
    </row>
    <row r="8" spans="1:20" ht="21">
      <c r="A8">
        <f t="shared" si="2"/>
        <v>5</v>
      </c>
      <c r="B8">
        <v>1996</v>
      </c>
      <c r="C8" s="191">
        <v>3114.08</v>
      </c>
      <c r="D8" s="191">
        <v>4131.22</v>
      </c>
      <c r="E8" s="191">
        <v>2713.12</v>
      </c>
      <c r="F8" s="191">
        <v>3085.2</v>
      </c>
      <c r="G8" s="190">
        <v>16.07</v>
      </c>
      <c r="H8" s="190">
        <v>3.02</v>
      </c>
      <c r="I8" s="190">
        <v>1.5</v>
      </c>
      <c r="K8" s="191">
        <f t="shared" si="4"/>
        <v>26230.783186379438</v>
      </c>
      <c r="L8" s="191">
        <f t="shared" si="0"/>
        <v>393.46174779569156</v>
      </c>
      <c r="M8" s="191">
        <f t="shared" si="3"/>
        <v>26624.24493417513</v>
      </c>
      <c r="O8" s="193">
        <f t="shared" si="1"/>
        <v>-0.009274007090376648</v>
      </c>
      <c r="P8" s="193"/>
      <c r="Q8" s="288"/>
      <c r="R8" s="288"/>
      <c r="S8" s="288">
        <f>((+C8/+C5)^(1/5)-1)</f>
        <v>0.035331252911145805</v>
      </c>
      <c r="T8" s="288"/>
    </row>
    <row r="9" spans="1:18" ht="21">
      <c r="A9">
        <f t="shared" si="2"/>
        <v>6</v>
      </c>
      <c r="B9">
        <v>1997</v>
      </c>
      <c r="C9" s="191">
        <v>3096.65</v>
      </c>
      <c r="D9" s="191">
        <v>4605.41</v>
      </c>
      <c r="E9" s="191">
        <v>3096.65</v>
      </c>
      <c r="F9" s="191">
        <v>3658.98</v>
      </c>
      <c r="G9" s="190">
        <v>14.45</v>
      </c>
      <c r="H9" s="190">
        <v>2.8</v>
      </c>
      <c r="I9" s="190">
        <v>1.53</v>
      </c>
      <c r="K9" s="191">
        <f t="shared" si="4"/>
        <v>26624.24493417513</v>
      </c>
      <c r="L9" s="191">
        <f t="shared" si="0"/>
        <v>407.3509474928795</v>
      </c>
      <c r="M9" s="191">
        <f t="shared" si="3"/>
        <v>27031.59588166801</v>
      </c>
      <c r="O9" s="193">
        <f t="shared" si="1"/>
        <v>0.1815930118030775</v>
      </c>
      <c r="P9" s="193"/>
      <c r="Q9" s="288">
        <f>((+C9/+C6)^(1/3)-1)</f>
        <v>-0.034150026550438306</v>
      </c>
      <c r="R9" s="288"/>
    </row>
    <row r="10" spans="1:16" ht="15.75">
      <c r="A10">
        <f t="shared" si="2"/>
        <v>7</v>
      </c>
      <c r="B10">
        <v>1998</v>
      </c>
      <c r="C10" s="191">
        <v>3658.34</v>
      </c>
      <c r="D10" s="191">
        <v>4322</v>
      </c>
      <c r="E10" s="191">
        <v>2741.22</v>
      </c>
      <c r="F10" s="191">
        <v>3055.41</v>
      </c>
      <c r="G10" s="190">
        <v>13</v>
      </c>
      <c r="H10" s="190">
        <v>2.25</v>
      </c>
      <c r="I10" s="190">
        <v>1.8</v>
      </c>
      <c r="K10" s="191">
        <f t="shared" si="4"/>
        <v>27031.59588166801</v>
      </c>
      <c r="L10" s="191">
        <f t="shared" si="0"/>
        <v>486.56872587002425</v>
      </c>
      <c r="M10" s="191">
        <f t="shared" si="3"/>
        <v>27518.164607538034</v>
      </c>
      <c r="O10" s="193">
        <f t="shared" si="1"/>
        <v>-0.16480972244241932</v>
      </c>
      <c r="P10" s="193"/>
    </row>
    <row r="11" spans="1:18" ht="21">
      <c r="A11">
        <f t="shared" si="2"/>
        <v>8</v>
      </c>
      <c r="B11">
        <v>1999</v>
      </c>
      <c r="C11" s="191">
        <v>3064.95</v>
      </c>
      <c r="D11" s="191">
        <v>5150.99</v>
      </c>
      <c r="E11" s="191">
        <v>3042.25</v>
      </c>
      <c r="F11" s="191">
        <v>5005.82</v>
      </c>
      <c r="G11" s="190">
        <v>17.35</v>
      </c>
      <c r="H11" s="190">
        <v>3.07</v>
      </c>
      <c r="I11" s="190">
        <v>1.38</v>
      </c>
      <c r="K11" s="191">
        <f t="shared" si="4"/>
        <v>27518.164607538034</v>
      </c>
      <c r="L11" s="191">
        <f t="shared" si="0"/>
        <v>379.7506715840249</v>
      </c>
      <c r="M11" s="191">
        <f t="shared" si="3"/>
        <v>27897.91527912206</v>
      </c>
      <c r="O11" s="193">
        <f t="shared" si="1"/>
        <v>0.6332468718902429</v>
      </c>
      <c r="P11" s="193"/>
      <c r="Q11" s="288"/>
      <c r="R11" s="288"/>
    </row>
    <row r="12" spans="1:18" ht="21">
      <c r="A12">
        <f t="shared" si="2"/>
        <v>9</v>
      </c>
      <c r="B12">
        <v>2000</v>
      </c>
      <c r="C12" s="191">
        <v>5209.54</v>
      </c>
      <c r="D12" s="191">
        <v>6150.69</v>
      </c>
      <c r="E12" s="191">
        <v>3491.55</v>
      </c>
      <c r="F12" s="191">
        <v>3972.12</v>
      </c>
      <c r="G12" s="190">
        <v>24.48</v>
      </c>
      <c r="H12" s="190">
        <v>3.81</v>
      </c>
      <c r="I12" s="190">
        <v>1.14</v>
      </c>
      <c r="K12" s="191">
        <f t="shared" si="4"/>
        <v>27897.91527912206</v>
      </c>
      <c r="L12" s="191">
        <f t="shared" si="0"/>
        <v>318.0362341819914</v>
      </c>
      <c r="M12" s="191">
        <f t="shared" si="3"/>
        <v>28215.95151330405</v>
      </c>
      <c r="O12" s="193">
        <f t="shared" si="1"/>
        <v>-0.23752960914015442</v>
      </c>
      <c r="P12" s="193"/>
      <c r="Q12" s="288">
        <f>((+C12/+C9)^(1/3)-1)</f>
        <v>0.1893301221217707</v>
      </c>
      <c r="R12" s="288"/>
    </row>
    <row r="13" spans="1:20" ht="21">
      <c r="A13">
        <f t="shared" si="2"/>
        <v>10</v>
      </c>
      <c r="B13">
        <v>2001</v>
      </c>
      <c r="C13" s="191">
        <v>3990.65</v>
      </c>
      <c r="D13" s="191">
        <v>4462.11</v>
      </c>
      <c r="E13" s="191">
        <v>2594.87</v>
      </c>
      <c r="F13" s="191">
        <v>3262.33</v>
      </c>
      <c r="G13" s="190">
        <v>17.6</v>
      </c>
      <c r="H13" s="190">
        <v>2.51</v>
      </c>
      <c r="I13" s="190">
        <v>1.83</v>
      </c>
      <c r="K13" s="191">
        <f t="shared" si="4"/>
        <v>28215.95151330405</v>
      </c>
      <c r="L13" s="191">
        <f t="shared" si="0"/>
        <v>516.3519126934641</v>
      </c>
      <c r="M13" s="191">
        <f t="shared" si="3"/>
        <v>28732.303425997514</v>
      </c>
      <c r="O13" s="193">
        <f t="shared" si="1"/>
        <v>-0.18250660919900272</v>
      </c>
      <c r="P13" s="193"/>
      <c r="S13" s="288">
        <f>((+C13/+C10)^(1/5)-1)</f>
        <v>0.017540993990729392</v>
      </c>
      <c r="T13" s="288"/>
    </row>
    <row r="14" spans="1:18" ht="21">
      <c r="A14">
        <f t="shared" si="2"/>
        <v>11</v>
      </c>
      <c r="B14">
        <v>2002</v>
      </c>
      <c r="C14" s="191">
        <v>3262.01</v>
      </c>
      <c r="D14" s="191">
        <v>3758.27</v>
      </c>
      <c r="E14" s="191">
        <v>2828.48</v>
      </c>
      <c r="F14" s="191">
        <v>3377.28</v>
      </c>
      <c r="G14" s="190">
        <v>15.22</v>
      </c>
      <c r="H14" s="190">
        <v>2.3</v>
      </c>
      <c r="I14" s="190">
        <v>2.14</v>
      </c>
      <c r="K14" s="191">
        <f t="shared" si="4"/>
        <v>28732.303425997514</v>
      </c>
      <c r="L14" s="191">
        <f t="shared" si="0"/>
        <v>614.8712933163469</v>
      </c>
      <c r="M14" s="191">
        <f t="shared" si="3"/>
        <v>29347.17471931386</v>
      </c>
      <c r="O14" s="193">
        <f t="shared" si="1"/>
        <v>0.03533710810205976</v>
      </c>
      <c r="P14" s="193"/>
      <c r="Q14" s="288"/>
      <c r="R14" s="288"/>
    </row>
    <row r="15" spans="1:18" ht="21">
      <c r="A15">
        <f t="shared" si="2"/>
        <v>12</v>
      </c>
      <c r="B15">
        <v>2003</v>
      </c>
      <c r="C15" s="191">
        <v>3383.85</v>
      </c>
      <c r="D15" s="191">
        <v>5920.76</v>
      </c>
      <c r="E15" s="191">
        <v>2904.44</v>
      </c>
      <c r="F15" s="191">
        <v>5838.96</v>
      </c>
      <c r="G15" s="190">
        <v>15.02</v>
      </c>
      <c r="H15" s="190">
        <v>2.49</v>
      </c>
      <c r="I15" s="190">
        <v>2.14</v>
      </c>
      <c r="K15" s="191">
        <f t="shared" si="4"/>
        <v>29347.17471931386</v>
      </c>
      <c r="L15" s="191">
        <f t="shared" si="0"/>
        <v>628.0295389933167</v>
      </c>
      <c r="M15" s="191">
        <f t="shared" si="3"/>
        <v>29975.204258307178</v>
      </c>
      <c r="O15" s="193">
        <f t="shared" si="1"/>
        <v>0.7255374794982048</v>
      </c>
      <c r="P15" s="193"/>
      <c r="Q15" s="288">
        <f>((+C15/+C12)^(1/3)-1)</f>
        <v>-0.13396141432022968</v>
      </c>
      <c r="R15" s="288"/>
    </row>
    <row r="16" spans="1:16" ht="15.75">
      <c r="A16">
        <f t="shared" si="2"/>
        <v>13</v>
      </c>
      <c r="B16">
        <v>2004</v>
      </c>
      <c r="C16" s="191">
        <v>5872.48</v>
      </c>
      <c r="D16" s="191">
        <v>6617.15</v>
      </c>
      <c r="E16" s="191">
        <v>4227.5</v>
      </c>
      <c r="F16" s="191">
        <v>6602.69</v>
      </c>
      <c r="G16" s="190">
        <v>17.26</v>
      </c>
      <c r="H16" s="190">
        <v>3.28</v>
      </c>
      <c r="I16" s="190">
        <v>2.01</v>
      </c>
      <c r="K16" s="191">
        <f t="shared" si="4"/>
        <v>29975.204258307178</v>
      </c>
      <c r="L16" s="191">
        <f t="shared" si="0"/>
        <v>602.5016055919741</v>
      </c>
      <c r="M16" s="191">
        <f t="shared" si="3"/>
        <v>30577.70586389915</v>
      </c>
      <c r="O16" s="193">
        <f t="shared" si="1"/>
        <v>0.12434439964035639</v>
      </c>
      <c r="P16" s="193"/>
    </row>
    <row r="17" spans="1:18" ht="21">
      <c r="A17">
        <f t="shared" si="2"/>
        <v>14</v>
      </c>
      <c r="B17">
        <v>2005</v>
      </c>
      <c r="C17" s="191">
        <v>6626.49</v>
      </c>
      <c r="D17" s="191">
        <v>9442.98</v>
      </c>
      <c r="E17" s="191">
        <v>6069.33</v>
      </c>
      <c r="F17" s="191">
        <v>9397.93</v>
      </c>
      <c r="G17" s="190">
        <v>16.21</v>
      </c>
      <c r="H17" s="190">
        <v>3.94</v>
      </c>
      <c r="I17" s="190">
        <v>1.58</v>
      </c>
      <c r="K17" s="191">
        <f t="shared" si="4"/>
        <v>30577.70586389915</v>
      </c>
      <c r="L17" s="191">
        <f t="shared" si="0"/>
        <v>483.12775264960663</v>
      </c>
      <c r="M17" s="191">
        <f t="shared" si="3"/>
        <v>31060.833616548756</v>
      </c>
      <c r="O17" s="193">
        <f t="shared" si="1"/>
        <v>0.4182365022809965</v>
      </c>
      <c r="P17" s="193"/>
      <c r="Q17" s="288"/>
      <c r="R17" s="288"/>
    </row>
    <row r="18" spans="1:20" ht="21">
      <c r="A18">
        <f t="shared" si="2"/>
        <v>15</v>
      </c>
      <c r="B18">
        <v>2006</v>
      </c>
      <c r="C18" s="191">
        <v>9422.49</v>
      </c>
      <c r="D18" s="191">
        <v>14035.3</v>
      </c>
      <c r="E18" s="191">
        <v>8799.01</v>
      </c>
      <c r="F18" s="191">
        <v>13786.91</v>
      </c>
      <c r="G18" s="190">
        <v>20.18</v>
      </c>
      <c r="H18" s="190">
        <v>4.75</v>
      </c>
      <c r="I18" s="190">
        <v>1.35</v>
      </c>
      <c r="K18" s="191">
        <f t="shared" si="4"/>
        <v>31060.833616548756</v>
      </c>
      <c r="L18" s="191">
        <f t="shared" si="0"/>
        <v>419.32125382340826</v>
      </c>
      <c r="M18" s="191">
        <f t="shared" si="3"/>
        <v>31480.154870372164</v>
      </c>
      <c r="O18" s="193">
        <f t="shared" si="1"/>
        <v>0.4631917890069398</v>
      </c>
      <c r="P18" s="193"/>
      <c r="Q18" s="288">
        <f>((+C18/+C15)^(1/3)-1)</f>
        <v>0.4068620907206075</v>
      </c>
      <c r="R18" s="288"/>
      <c r="S18" s="288">
        <f>((+C18/+C15)^(1/5)-1)</f>
        <v>0.2273005147891516</v>
      </c>
      <c r="T18" s="288"/>
    </row>
    <row r="19" spans="1:16" ht="15.75">
      <c r="A19">
        <f t="shared" si="2"/>
        <v>16</v>
      </c>
      <c r="B19">
        <v>2007</v>
      </c>
      <c r="C19" s="191">
        <v>13827.77</v>
      </c>
      <c r="D19" s="191">
        <v>20498.11</v>
      </c>
      <c r="E19" s="191">
        <v>12316.1</v>
      </c>
      <c r="F19" s="191">
        <v>20286.99</v>
      </c>
      <c r="G19" s="190">
        <v>22.25</v>
      </c>
      <c r="H19" s="190">
        <v>5.32</v>
      </c>
      <c r="I19" s="190">
        <v>1.1</v>
      </c>
      <c r="K19" s="191">
        <f t="shared" si="4"/>
        <v>31480.154870372164</v>
      </c>
      <c r="L19" s="191">
        <f t="shared" si="0"/>
        <v>346.28170357409385</v>
      </c>
      <c r="M19" s="191">
        <f t="shared" si="3"/>
        <v>31826.43657394626</v>
      </c>
      <c r="O19" s="193">
        <f t="shared" si="1"/>
        <v>0.4671194270659695</v>
      </c>
      <c r="P19" s="193"/>
    </row>
    <row r="20" spans="1:18" ht="21">
      <c r="A20">
        <f t="shared" si="2"/>
        <v>17</v>
      </c>
      <c r="B20">
        <v>2008</v>
      </c>
      <c r="C20" s="191">
        <v>20325.27</v>
      </c>
      <c r="D20" s="191">
        <v>21206.77</v>
      </c>
      <c r="E20" s="191">
        <v>7697.39</v>
      </c>
      <c r="F20" s="191">
        <v>9647.31</v>
      </c>
      <c r="G20" s="190">
        <v>18.22</v>
      </c>
      <c r="H20" s="190">
        <v>4.2</v>
      </c>
      <c r="I20" s="190">
        <v>1.29</v>
      </c>
      <c r="K20" s="191">
        <f t="shared" si="4"/>
        <v>31826.43657394626</v>
      </c>
      <c r="L20" s="191">
        <f t="shared" si="0"/>
        <v>410.56103180390676</v>
      </c>
      <c r="M20" s="191">
        <f t="shared" si="3"/>
        <v>32236.997605750166</v>
      </c>
      <c r="O20" s="193">
        <f t="shared" si="1"/>
        <v>-0.5253539067377703</v>
      </c>
      <c r="P20" s="193"/>
      <c r="Q20" s="288"/>
      <c r="R20" s="288"/>
    </row>
    <row r="21" spans="1:18" ht="21">
      <c r="A21">
        <f t="shared" si="2"/>
        <v>18</v>
      </c>
      <c r="B21">
        <v>2009</v>
      </c>
      <c r="C21" s="191">
        <v>9720.55</v>
      </c>
      <c r="D21" s="191">
        <v>17530.94</v>
      </c>
      <c r="E21" s="191">
        <v>8047.17</v>
      </c>
      <c r="F21" s="191">
        <v>17464.81</v>
      </c>
      <c r="G21" s="190">
        <v>18.08</v>
      </c>
      <c r="H21" s="190">
        <v>3.42</v>
      </c>
      <c r="I21" s="190">
        <v>1.43</v>
      </c>
      <c r="K21" s="191">
        <f t="shared" si="4"/>
        <v>32236.997605750166</v>
      </c>
      <c r="L21" s="191">
        <f t="shared" si="0"/>
        <v>460.98906576222737</v>
      </c>
      <c r="M21" s="191">
        <f t="shared" si="3"/>
        <v>32697.986671512394</v>
      </c>
      <c r="O21" s="193">
        <f t="shared" si="1"/>
        <v>0.7966894877347478</v>
      </c>
      <c r="P21" s="193"/>
      <c r="Q21" s="288">
        <f>((+C21/+C18)^(1/3)-1)</f>
        <v>0.010435007666513174</v>
      </c>
      <c r="R21" s="288"/>
    </row>
    <row r="22" spans="1:16" ht="15.75">
      <c r="A22">
        <f t="shared" si="2"/>
        <v>19</v>
      </c>
      <c r="B22">
        <v>2010</v>
      </c>
      <c r="C22" s="191">
        <v>17473.45</v>
      </c>
      <c r="D22" s="191">
        <v>21108.64</v>
      </c>
      <c r="E22" s="191">
        <v>15651.99</v>
      </c>
      <c r="F22" s="191">
        <v>20509.09</v>
      </c>
      <c r="G22" s="190">
        <v>21.71</v>
      </c>
      <c r="H22" s="190">
        <v>3.67</v>
      </c>
      <c r="I22" s="190">
        <v>1.12</v>
      </c>
      <c r="K22" s="191">
        <f t="shared" si="4"/>
        <v>32697.986671512394</v>
      </c>
      <c r="L22" s="191">
        <f t="shared" si="0"/>
        <v>366.21745072093887</v>
      </c>
      <c r="M22" s="191">
        <f t="shared" si="3"/>
        <v>33064.204122233336</v>
      </c>
      <c r="O22" s="193">
        <f t="shared" si="1"/>
        <v>0.17372871413487315</v>
      </c>
      <c r="P22" s="193"/>
    </row>
    <row r="23" spans="1:20" ht="21">
      <c r="A23">
        <f t="shared" si="2"/>
        <v>20</v>
      </c>
      <c r="B23">
        <v>2011</v>
      </c>
      <c r="C23" s="191">
        <v>20621.61</v>
      </c>
      <c r="D23" s="191">
        <v>20664.8</v>
      </c>
      <c r="E23" s="191">
        <v>15135.86</v>
      </c>
      <c r="F23" s="191">
        <v>15454.92</v>
      </c>
      <c r="G23" s="190">
        <v>19.21</v>
      </c>
      <c r="H23" s="190">
        <v>3.43</v>
      </c>
      <c r="I23" s="190">
        <v>1.32</v>
      </c>
      <c r="K23" s="191">
        <f t="shared" si="4"/>
        <v>33064.204122233336</v>
      </c>
      <c r="L23" s="191">
        <f t="shared" si="0"/>
        <v>436.44749441348</v>
      </c>
      <c r="M23" s="191">
        <f t="shared" si="3"/>
        <v>33500.65161664681</v>
      </c>
      <c r="O23" s="193">
        <f t="shared" si="1"/>
        <v>-0.2505473626937955</v>
      </c>
      <c r="P23" s="193"/>
      <c r="Q23" s="288"/>
      <c r="R23" s="288"/>
      <c r="S23" s="288">
        <f>((+C23/+C20)^(1/5)-1)</f>
        <v>0.0028991174557271293</v>
      </c>
      <c r="T23" s="288"/>
    </row>
    <row r="24" spans="1:18" ht="21">
      <c r="A24">
        <f t="shared" si="2"/>
        <v>21</v>
      </c>
      <c r="B24">
        <v>2012</v>
      </c>
      <c r="C24" s="191">
        <v>15534.67</v>
      </c>
      <c r="D24" s="191">
        <v>19612.18</v>
      </c>
      <c r="E24" s="191">
        <v>15358.02</v>
      </c>
      <c r="F24" s="191">
        <v>19426.71</v>
      </c>
      <c r="G24" s="190">
        <v>17.14</v>
      </c>
      <c r="H24" s="190">
        <v>3.08</v>
      </c>
      <c r="I24" s="190">
        <v>1.63</v>
      </c>
      <c r="K24" s="191">
        <f t="shared" si="4"/>
        <v>33500.65161664681</v>
      </c>
      <c r="L24" s="191">
        <f t="shared" si="0"/>
        <v>546.060621351343</v>
      </c>
      <c r="M24" s="191">
        <f t="shared" si="3"/>
        <v>34046.71223799816</v>
      </c>
      <c r="O24" s="193">
        <f t="shared" si="1"/>
        <v>0.25053895576796925</v>
      </c>
      <c r="P24" s="193"/>
      <c r="Q24" s="288">
        <f>((+C24/+C21)^(1/3)-1)</f>
        <v>0.16915044110399835</v>
      </c>
      <c r="R24" s="288"/>
    </row>
    <row r="25" spans="2:16" ht="15.75">
      <c r="B25">
        <v>2013</v>
      </c>
      <c r="C25" s="191">
        <f>+F24</f>
        <v>19426.71</v>
      </c>
      <c r="D25" s="191"/>
      <c r="E25" s="192">
        <v>41424</v>
      </c>
      <c r="F25" s="191">
        <v>19760</v>
      </c>
      <c r="G25" s="190"/>
      <c r="H25" s="190"/>
      <c r="I25" s="190"/>
      <c r="O25" s="193">
        <f t="shared" si="1"/>
        <v>0.017156276075568168</v>
      </c>
      <c r="P25" s="193"/>
    </row>
    <row r="26" spans="3:18" ht="21">
      <c r="C26" s="11"/>
      <c r="G26" s="190"/>
      <c r="H26" s="190"/>
      <c r="O26" s="141"/>
      <c r="P26" s="141"/>
      <c r="Q26" s="288"/>
      <c r="R26" s="288"/>
    </row>
    <row r="28" spans="4:10" ht="33" customHeight="1">
      <c r="D28" s="144" t="s">
        <v>157</v>
      </c>
      <c r="E28" s="144"/>
      <c r="F28" s="288">
        <f>((+C25/+C3)^(1/22)-1)</f>
        <v>0.14295825970838072</v>
      </c>
      <c r="G28" s="288"/>
      <c r="H28" s="145" t="s">
        <v>220</v>
      </c>
      <c r="I28" s="145"/>
      <c r="J28" s="145"/>
    </row>
    <row r="29" spans="4:10" ht="21">
      <c r="D29" s="145"/>
      <c r="E29" s="145"/>
      <c r="F29" s="145"/>
      <c r="G29" s="145"/>
      <c r="H29" s="145"/>
      <c r="I29" s="145"/>
      <c r="J29" s="145"/>
    </row>
    <row r="30" spans="4:10" ht="26.25" customHeight="1">
      <c r="D30" s="144" t="s">
        <v>157</v>
      </c>
      <c r="E30" s="144"/>
      <c r="F30" s="288">
        <f>((+C25/+C15)^(1/10)-1)</f>
        <v>0.19096449741647192</v>
      </c>
      <c r="G30" s="288"/>
      <c r="H30" s="145" t="s">
        <v>192</v>
      </c>
      <c r="I30" s="145"/>
      <c r="J30" s="145"/>
    </row>
    <row r="31" spans="4:10" ht="21">
      <c r="D31" s="145"/>
      <c r="E31" s="145"/>
      <c r="F31" s="145"/>
      <c r="G31" s="145"/>
      <c r="H31" s="145"/>
      <c r="I31" s="145"/>
      <c r="J31" s="145"/>
    </row>
    <row r="32" spans="4:10" ht="21">
      <c r="D32" s="144" t="s">
        <v>157</v>
      </c>
      <c r="E32" s="144"/>
      <c r="F32" s="288">
        <f>((+C25/+C20)^(1/5)-1)</f>
        <v>-0.009002436459791263</v>
      </c>
      <c r="G32" s="288"/>
      <c r="H32" s="145" t="s">
        <v>193</v>
      </c>
      <c r="I32" s="145"/>
      <c r="J32" s="145"/>
    </row>
  </sheetData>
  <sheetProtection/>
  <mergeCells count="22">
    <mergeCell ref="F32:G32"/>
    <mergeCell ref="Q5:R5"/>
    <mergeCell ref="Q8:R8"/>
    <mergeCell ref="Q11:R11"/>
    <mergeCell ref="Q14:R14"/>
    <mergeCell ref="Q17:R17"/>
    <mergeCell ref="F28:G28"/>
    <mergeCell ref="F30:G30"/>
    <mergeCell ref="Q26:R26"/>
    <mergeCell ref="Q20:R20"/>
    <mergeCell ref="Q6:R6"/>
    <mergeCell ref="Q18:R18"/>
    <mergeCell ref="Q21:R21"/>
    <mergeCell ref="Q9:R9"/>
    <mergeCell ref="Q12:R12"/>
    <mergeCell ref="Q15:R15"/>
    <mergeCell ref="Q23:R23"/>
    <mergeCell ref="Q24:R24"/>
    <mergeCell ref="S8:T8"/>
    <mergeCell ref="S13:T13"/>
    <mergeCell ref="S18:T18"/>
    <mergeCell ref="S23:T2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42:C42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7" width="9.140625" style="141" customWidth="1"/>
    <col min="8" max="8" width="9.140625" style="142" customWidth="1"/>
    <col min="9" max="16384" width="9.140625" style="141" customWidth="1"/>
  </cols>
  <sheetData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2" ht="15.75">
      <c r="C42" s="141" t="s">
        <v>213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P21"/>
  <sheetViews>
    <sheetView zoomScalePageLayoutView="0" workbookViewId="0" topLeftCell="A1">
      <selection activeCell="N18" sqref="N18"/>
    </sheetView>
  </sheetViews>
  <sheetFormatPr defaultColWidth="9.140625" defaultRowHeight="12.75"/>
  <cols>
    <col min="4" max="4" width="4.140625" style="0" customWidth="1"/>
    <col min="7" max="7" width="3.8515625" style="0" customWidth="1"/>
    <col min="10" max="10" width="4.00390625" style="0" customWidth="1"/>
    <col min="13" max="13" width="3.421875" style="0" customWidth="1"/>
  </cols>
  <sheetData>
    <row r="3" spans="2:16" ht="15.75">
      <c r="B3" s="141"/>
      <c r="C3" s="141" t="s">
        <v>221</v>
      </c>
      <c r="D3" s="236"/>
      <c r="E3" s="141"/>
      <c r="F3" s="141" t="s">
        <v>221</v>
      </c>
      <c r="G3" s="236"/>
      <c r="H3" s="141"/>
      <c r="I3" s="141" t="s">
        <v>222</v>
      </c>
      <c r="J3" s="236"/>
      <c r="K3" s="141"/>
      <c r="L3" s="141" t="s">
        <v>223</v>
      </c>
      <c r="M3" s="236"/>
      <c r="N3" s="141"/>
      <c r="O3" s="142" t="s">
        <v>224</v>
      </c>
      <c r="P3" s="141"/>
    </row>
    <row r="4" spans="2:16" ht="15.75">
      <c r="B4" s="141">
        <v>1978</v>
      </c>
      <c r="C4" s="141">
        <v>62</v>
      </c>
      <c r="D4" s="236"/>
      <c r="E4" s="141">
        <v>2003</v>
      </c>
      <c r="F4" s="141">
        <v>30</v>
      </c>
      <c r="G4" s="236"/>
      <c r="H4" s="141">
        <v>1999</v>
      </c>
      <c r="I4" s="141">
        <v>2</v>
      </c>
      <c r="J4" s="236"/>
      <c r="K4" s="141">
        <v>2003</v>
      </c>
      <c r="L4" s="141">
        <v>6</v>
      </c>
      <c r="M4" s="236"/>
      <c r="N4" s="141">
        <v>2009</v>
      </c>
      <c r="O4" s="140">
        <v>81</v>
      </c>
      <c r="P4" s="141"/>
    </row>
    <row r="5" spans="2:16" ht="15.75">
      <c r="B5" s="141"/>
      <c r="C5" s="141"/>
      <c r="D5" s="236"/>
      <c r="E5" s="141"/>
      <c r="F5" s="141"/>
      <c r="G5" s="236"/>
      <c r="H5" s="141"/>
      <c r="I5" s="141"/>
      <c r="J5" s="236"/>
      <c r="K5" s="141"/>
      <c r="L5" s="141"/>
      <c r="M5" s="236"/>
      <c r="N5" s="141"/>
      <c r="O5" s="140"/>
      <c r="P5" s="141"/>
    </row>
    <row r="6" spans="2:16" ht="15.75">
      <c r="B6" s="141">
        <v>2013</v>
      </c>
      <c r="C6" s="141">
        <v>18000</v>
      </c>
      <c r="D6" s="236"/>
      <c r="E6" s="141">
        <v>2013</v>
      </c>
      <c r="F6" s="141">
        <v>180</v>
      </c>
      <c r="G6" s="236"/>
      <c r="H6" s="141">
        <v>2013</v>
      </c>
      <c r="I6" s="141">
        <v>32</v>
      </c>
      <c r="J6" s="236"/>
      <c r="K6" s="141">
        <v>2013</v>
      </c>
      <c r="L6" s="141">
        <v>30</v>
      </c>
      <c r="M6" s="236"/>
      <c r="N6" s="141">
        <v>2013</v>
      </c>
      <c r="O6" s="140">
        <v>140</v>
      </c>
      <c r="P6" s="141"/>
    </row>
    <row r="7" spans="2:16" ht="15.75">
      <c r="B7" s="141">
        <f>+B6-B4</f>
        <v>35</v>
      </c>
      <c r="C7" s="141"/>
      <c r="D7" s="236"/>
      <c r="E7" s="141">
        <f>+E6-E4</f>
        <v>10</v>
      </c>
      <c r="F7" s="141"/>
      <c r="G7" s="236"/>
      <c r="H7" s="141">
        <f>+H6-H4</f>
        <v>14</v>
      </c>
      <c r="I7" s="141"/>
      <c r="J7" s="236"/>
      <c r="K7" s="141">
        <f>+K6-K4</f>
        <v>10</v>
      </c>
      <c r="L7" s="141"/>
      <c r="M7" s="236"/>
      <c r="N7" s="141">
        <f>+N6-N4</f>
        <v>4</v>
      </c>
      <c r="O7" s="141"/>
      <c r="P7" s="141"/>
    </row>
    <row r="8" spans="2:16" ht="15.75">
      <c r="B8" s="141"/>
      <c r="C8" s="141"/>
      <c r="D8" s="236"/>
      <c r="E8" s="141"/>
      <c r="F8" s="141"/>
      <c r="G8" s="236"/>
      <c r="H8" s="141"/>
      <c r="I8" s="141"/>
      <c r="J8" s="236"/>
      <c r="K8" s="141"/>
      <c r="L8" s="141"/>
      <c r="M8" s="236"/>
      <c r="N8" s="141"/>
      <c r="O8" s="141"/>
      <c r="P8" s="141"/>
    </row>
    <row r="9" spans="1:16" ht="15.75">
      <c r="A9" s="141" t="s">
        <v>157</v>
      </c>
      <c r="B9" s="141"/>
      <c r="C9" s="123">
        <f>((+C6/+C4)^(1/+B7)-1)</f>
        <v>0.17589359093175227</v>
      </c>
      <c r="D9" s="236"/>
      <c r="E9" s="141"/>
      <c r="F9" s="123">
        <f>((+F6/+F4)^(1/+E7)-1)</f>
        <v>0.19623119885131546</v>
      </c>
      <c r="G9" s="236"/>
      <c r="H9" s="141"/>
      <c r="I9" s="123">
        <f>((+I6/+I4)^(1/+H7)-1)</f>
        <v>0.21901365420447538</v>
      </c>
      <c r="J9" s="236"/>
      <c r="K9" s="141"/>
      <c r="L9" s="123">
        <f>((+L6/+L4)^(1/+K7)-1)</f>
        <v>0.17461894308801895</v>
      </c>
      <c r="M9" s="236"/>
      <c r="N9" s="141"/>
      <c r="O9" s="123">
        <f>((+O6/+O4)^(1/+N7)-1)</f>
        <v>0.14659687608346417</v>
      </c>
      <c r="P9" s="141"/>
    </row>
    <row r="10" spans="2:16" ht="15.75">
      <c r="B10" s="141"/>
      <c r="C10" s="141"/>
      <c r="D10" s="236"/>
      <c r="E10" s="141"/>
      <c r="F10" s="141"/>
      <c r="G10" s="236"/>
      <c r="H10" s="141"/>
      <c r="I10" s="141"/>
      <c r="J10" s="236"/>
      <c r="K10" s="141"/>
      <c r="L10" s="141"/>
      <c r="M10" s="236"/>
      <c r="N10" s="141"/>
      <c r="O10" s="141"/>
      <c r="P10" s="141"/>
    </row>
    <row r="11" spans="1:16" ht="15.75">
      <c r="A11" s="150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141"/>
    </row>
    <row r="12" spans="2:16" ht="15.75">
      <c r="B12" s="141"/>
      <c r="C12" s="141"/>
      <c r="D12" s="236"/>
      <c r="E12" s="141"/>
      <c r="F12" s="141"/>
      <c r="G12" s="236"/>
      <c r="H12" s="141"/>
      <c r="I12" s="141"/>
      <c r="J12" s="236"/>
      <c r="K12" s="141" t="s">
        <v>226</v>
      </c>
      <c r="L12" s="141"/>
      <c r="M12" s="236"/>
      <c r="N12" s="141"/>
      <c r="O12" s="141"/>
      <c r="P12" s="141"/>
    </row>
    <row r="13" spans="2:16" ht="15.75">
      <c r="B13" s="141"/>
      <c r="C13" s="142" t="s">
        <v>225</v>
      </c>
      <c r="D13" s="236"/>
      <c r="E13" s="141"/>
      <c r="F13" s="142" t="s">
        <v>225</v>
      </c>
      <c r="G13" s="236"/>
      <c r="H13" s="141"/>
      <c r="I13" s="141"/>
      <c r="J13" s="236"/>
      <c r="K13" s="141"/>
      <c r="L13" s="141" t="s">
        <v>223</v>
      </c>
      <c r="M13" s="236"/>
      <c r="N13" s="141"/>
      <c r="O13" s="141"/>
      <c r="P13" s="141"/>
    </row>
    <row r="14" spans="2:16" ht="15.75">
      <c r="B14" s="141">
        <v>2004</v>
      </c>
      <c r="C14" s="237">
        <v>4.5</v>
      </c>
      <c r="D14" s="236"/>
      <c r="E14" s="141">
        <v>1978</v>
      </c>
      <c r="F14" s="140">
        <v>62</v>
      </c>
      <c r="G14" s="236"/>
      <c r="H14" s="141"/>
      <c r="I14" s="141"/>
      <c r="J14" s="236"/>
      <c r="K14" s="141">
        <v>2003</v>
      </c>
      <c r="L14" s="141">
        <v>30</v>
      </c>
      <c r="M14" s="236"/>
      <c r="N14" s="141"/>
      <c r="O14" s="141"/>
      <c r="P14" s="141"/>
    </row>
    <row r="15" spans="2:16" ht="15.75">
      <c r="B15" s="141"/>
      <c r="C15" s="140"/>
      <c r="D15" s="236"/>
      <c r="E15" s="141"/>
      <c r="F15" s="140"/>
      <c r="G15" s="236"/>
      <c r="H15" s="141"/>
      <c r="I15" s="141"/>
      <c r="J15" s="236"/>
      <c r="K15" s="141"/>
      <c r="L15" s="141"/>
      <c r="M15" s="236"/>
      <c r="N15" s="141"/>
      <c r="O15" s="141"/>
      <c r="P15" s="141"/>
    </row>
    <row r="16" spans="2:16" ht="15.75">
      <c r="B16" s="141">
        <v>2013</v>
      </c>
      <c r="C16" s="140">
        <v>30</v>
      </c>
      <c r="D16" s="236"/>
      <c r="E16" s="141">
        <v>2004</v>
      </c>
      <c r="F16" s="140">
        <v>2950</v>
      </c>
      <c r="G16" s="236"/>
      <c r="H16" s="141"/>
      <c r="I16" s="141"/>
      <c r="J16" s="236"/>
      <c r="K16" s="141">
        <v>2013</v>
      </c>
      <c r="L16" s="141">
        <v>26</v>
      </c>
      <c r="M16" s="236"/>
      <c r="N16" s="141"/>
      <c r="O16" s="141"/>
      <c r="P16" s="141"/>
    </row>
    <row r="17" spans="2:16" ht="15.75">
      <c r="B17" s="141">
        <f>+B16-B14</f>
        <v>9</v>
      </c>
      <c r="C17" s="141"/>
      <c r="D17" s="236"/>
      <c r="E17" s="141">
        <f>+E16-E14</f>
        <v>26</v>
      </c>
      <c r="F17" s="141"/>
      <c r="G17" s="236"/>
      <c r="H17" s="141"/>
      <c r="I17" s="141"/>
      <c r="J17" s="236"/>
      <c r="K17" s="141">
        <f>+K16-K14</f>
        <v>10</v>
      </c>
      <c r="L17" s="141"/>
      <c r="M17" s="236"/>
      <c r="N17" s="141"/>
      <c r="O17" s="141"/>
      <c r="P17" s="141"/>
    </row>
    <row r="18" spans="2:16" ht="15.75">
      <c r="B18" s="141"/>
      <c r="C18" s="141"/>
      <c r="D18" s="236"/>
      <c r="E18" s="141"/>
      <c r="F18" s="141"/>
      <c r="G18" s="236"/>
      <c r="H18" s="141"/>
      <c r="I18" s="141"/>
      <c r="J18" s="236"/>
      <c r="K18" s="141"/>
      <c r="L18" s="141"/>
      <c r="M18" s="236"/>
      <c r="N18" s="141"/>
      <c r="O18" s="141"/>
      <c r="P18" s="141"/>
    </row>
    <row r="19" spans="1:16" ht="15.75">
      <c r="A19" s="141" t="s">
        <v>157</v>
      </c>
      <c r="B19" s="141"/>
      <c r="C19" s="123">
        <f>((+C16/+C14)^(1/+B17)-1)</f>
        <v>0.23465442045881546</v>
      </c>
      <c r="D19" s="236"/>
      <c r="E19" s="141"/>
      <c r="F19" s="123">
        <f>((+F16/+F14)^(1/+E17)-1)</f>
        <v>0.16015642901601446</v>
      </c>
      <c r="G19" s="236"/>
      <c r="H19" s="141"/>
      <c r="I19" s="141"/>
      <c r="J19" s="236"/>
      <c r="K19" s="141"/>
      <c r="L19" s="123">
        <f>((+L16/+L14)^(1/+K17)-1)</f>
        <v>-0.01420818176417915</v>
      </c>
      <c r="M19" s="236"/>
      <c r="N19" s="141"/>
      <c r="O19" s="141"/>
      <c r="P19" s="141"/>
    </row>
    <row r="20" spans="2:16" ht="15.75">
      <c r="B20" s="141"/>
      <c r="C20" s="141"/>
      <c r="D20" s="236"/>
      <c r="E20" s="141"/>
      <c r="F20" s="141"/>
      <c r="G20" s="236"/>
      <c r="H20" s="141"/>
      <c r="I20" s="141"/>
      <c r="J20" s="236"/>
      <c r="K20" s="141"/>
      <c r="L20" s="141"/>
      <c r="M20" s="236"/>
      <c r="N20" s="141"/>
      <c r="O20" s="141"/>
      <c r="P20" s="141"/>
    </row>
    <row r="21" spans="2:16" ht="15.75">
      <c r="B21" s="141"/>
      <c r="C21" s="141"/>
      <c r="D21" s="236"/>
      <c r="E21" s="141"/>
      <c r="F21" s="141"/>
      <c r="G21" s="236"/>
      <c r="H21" s="141"/>
      <c r="I21" s="141"/>
      <c r="J21" s="236"/>
      <c r="K21" s="141"/>
      <c r="L21" s="141"/>
      <c r="M21" s="236"/>
      <c r="N21" s="141"/>
      <c r="O21" s="141"/>
      <c r="P21" s="1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Vineet</dc:creator>
  <cp:keywords/>
  <dc:description/>
  <cp:lastModifiedBy>Pravin</cp:lastModifiedBy>
  <dcterms:created xsi:type="dcterms:W3CDTF">2011-07-17T08:45:28Z</dcterms:created>
  <dcterms:modified xsi:type="dcterms:W3CDTF">2013-06-08T04:20:13Z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