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730" activeTab="0"/>
  </bookViews>
  <sheets>
    <sheet name="Expansion" sheetId="1" r:id="rId1"/>
    <sheet name="Consolidated" sheetId="2" state="hidden" r:id="rId2"/>
    <sheet name="Existing" sheetId="3" state="hidden" r:id="rId3"/>
    <sheet name="Existing Term Loan Chart" sheetId="4" state="hidden" r:id="rId4"/>
    <sheet name="Sheet1" sheetId="5" r:id="rId5"/>
  </sheets>
  <definedNames>
    <definedName name="ANN_2">#REF!</definedName>
    <definedName name="ANN_IV">#REF!</definedName>
    <definedName name="ANN_VI">#REF!</definedName>
    <definedName name="ANN_VII">#REF!</definedName>
    <definedName name="ANN_VIII">#REF!</definedName>
    <definedName name="ANN_Xl">#REF!</definedName>
    <definedName name="ANNEXURE_X">#REF!</definedName>
    <definedName name="BALANCE_SHEET">#REF!</definedName>
    <definedName name="BEP">#REF!</definedName>
    <definedName name="BUILDING">#REF!</definedName>
    <definedName name="CANN_VII">#REF!</definedName>
    <definedName name="CASH_FLOW">#REF!</definedName>
    <definedName name="cdscr">#REF!</definedName>
    <definedName name="CO_CP">#REF!</definedName>
    <definedName name="COMPUTATION_OF_INCOME_TAX">#REF!</definedName>
    <definedName name="cons_bs">#REF!</definedName>
    <definedName name="cons_cf">#REF!</definedName>
    <definedName name="cons_pr1">#REF!</definedName>
    <definedName name="cons_pr2">#REF!</definedName>
    <definedName name="CONTIGENCY">#REF!</definedName>
    <definedName name="COST_OF_PRODUCTION">#REF!</definedName>
    <definedName name="COSTCAP">#REF!</definedName>
    <definedName name="csummary">#REF!</definedName>
    <definedName name="DEPRECIATION_COMPANIES">#REF!</definedName>
    <definedName name="DEPRECIATION_INCOMETAX">#REF!</definedName>
    <definedName name="DSCR">#REF!</definedName>
    <definedName name="ecf">#REF!</definedName>
    <definedName name="ewc">#REF!</definedName>
    <definedName name="excise">#REF!</definedName>
    <definedName name="exi_cont">#REF!</definedName>
    <definedName name="exi_means">#REF!</definedName>
    <definedName name="exi_pro_cost">#REF!</definedName>
    <definedName name="exi_wcap">#REF!</definedName>
    <definedName name="Financial">#REF!</definedName>
    <definedName name="IMPORTED_MACHINERY">#REF!</definedName>
    <definedName name="INDEGENIOUS_MACHINERY">#REF!</definedName>
    <definedName name="M">#REF!</definedName>
    <definedName name="means">#REF!</definedName>
    <definedName name="MEANS_OF_FINANCE">#REF!</definedName>
    <definedName name="_xlnm.Print_Area" localSheetId="0">'Expansion'!$CD$2:$CK$39</definedName>
    <definedName name="PRODUCTION_SALES">#REF!</definedName>
    <definedName name="PROJECT_COST_1">#REF!</definedName>
    <definedName name="PROJECT_COST_2">#REF!</definedName>
    <definedName name="RAW_MATERIAL">#REF!</definedName>
    <definedName name="SECURED_LOANS">#REF!</definedName>
    <definedName name="sensitivity">#REF!</definedName>
    <definedName name="SHORT_TERM_LOANS">#REF!</definedName>
    <definedName name="summary">#REF!</definedName>
    <definedName name="t">#REF!</definedName>
    <definedName name="TERM_LOAN">#REF!</definedName>
    <definedName name="WAGES_SALARIES">#REF!</definedName>
    <definedName name="working_Capital">#REF!</definedName>
    <definedName name="WORKING_RESULTS_1">#REF!</definedName>
    <definedName name="WORKING_RESULTS_2">#REF!</definedName>
  </definedNames>
  <calcPr fullCalcOnLoad="1"/>
</workbook>
</file>

<file path=xl/comments1.xml><?xml version="1.0" encoding="utf-8"?>
<comments xmlns="http://schemas.openxmlformats.org/spreadsheetml/2006/main">
  <authors>
    <author>----</author>
  </authors>
  <commentList>
    <comment ref="M25" authorId="0">
      <text>
        <r>
          <rPr>
            <b/>
            <sz val="8"/>
            <rFont val="Tahoma"/>
            <family val="2"/>
          </rPr>
          <t>----:</t>
        </r>
        <r>
          <rPr>
            <sz val="8"/>
            <rFont val="Tahoma"/>
            <family val="2"/>
          </rPr>
          <t xml:space="preserve">
Why .06 is reduced earlier</t>
        </r>
      </text>
    </comment>
  </commentList>
</comments>
</file>

<file path=xl/sharedStrings.xml><?xml version="1.0" encoding="utf-8"?>
<sst xmlns="http://schemas.openxmlformats.org/spreadsheetml/2006/main" count="1191" uniqueCount="646">
  <si>
    <t xml:space="preserve"> </t>
  </si>
  <si>
    <t>CALCULATION OF DEPRECIATION</t>
  </si>
  <si>
    <t>INTEREST &amp; REPAYMENT OF TERM LOAN</t>
  </si>
  <si>
    <t>COMPUTATION OF INCOME TAX</t>
  </si>
  <si>
    <t>FORM II</t>
  </si>
  <si>
    <t>FORM - III</t>
  </si>
  <si>
    <t>FORM - V</t>
  </si>
  <si>
    <t>FORM - VI</t>
  </si>
  <si>
    <t>FORM - VII</t>
  </si>
  <si>
    <t>CALCULATION OF CONTINGENCY</t>
  </si>
  <si>
    <t xml:space="preserve">ESTIMATES OF WORKING RESULTS </t>
  </si>
  <si>
    <t>L.</t>
  </si>
  <si>
    <t>Profit before Taxation</t>
  </si>
  <si>
    <t>ESTIMATION OF PRODUCTION &amp; SALES</t>
  </si>
  <si>
    <t>CALCULATION OF WAGES &amp; SALARIES</t>
  </si>
  <si>
    <t>PROJECTED BALANCE SHEET</t>
  </si>
  <si>
    <t>(as per Income Tax Act)</t>
  </si>
  <si>
    <t>BREAK EVEN POINT</t>
  </si>
  <si>
    <t>(at 100% Capacity)</t>
  </si>
  <si>
    <t>Particulars of Existing Cash Credit/Overdraft Arrangement</t>
  </si>
  <si>
    <t>Particulars of Factory &amp; Non-Factory Buildings</t>
  </si>
  <si>
    <t>Particulars of the Machinery Imported/to be Imported under the project</t>
  </si>
  <si>
    <t>Particulars of Machinery Already Acquired/Proposed to be acquired from Indigenous sources under the project</t>
  </si>
  <si>
    <t>(BASED ON THIRD YEAR WORKING)</t>
  </si>
  <si>
    <t>Total</t>
  </si>
  <si>
    <t>M.</t>
  </si>
  <si>
    <t>Provision for Taxation</t>
  </si>
  <si>
    <t>Principal</t>
  </si>
  <si>
    <t>Interest @</t>
  </si>
  <si>
    <t>Particulars</t>
  </si>
  <si>
    <t>A. Debentures:</t>
  </si>
  <si>
    <t>Sr.</t>
  </si>
  <si>
    <t>Estimated</t>
  </si>
  <si>
    <t>Firm</t>
  </si>
  <si>
    <t>Non-Firm</t>
  </si>
  <si>
    <t>Contingency</t>
  </si>
  <si>
    <t>No. of</t>
  </si>
  <si>
    <t xml:space="preserve">Sr. </t>
  </si>
  <si>
    <t>Depre-</t>
  </si>
  <si>
    <t>Misc.</t>
  </si>
  <si>
    <t>Year</t>
  </si>
  <si>
    <t>Installment</t>
  </si>
  <si>
    <t>Amount</t>
  </si>
  <si>
    <t>Repayment</t>
  </si>
  <si>
    <t>Balance</t>
  </si>
  <si>
    <t>Working out Financial Viability of the Project :</t>
  </si>
  <si>
    <t>No.</t>
  </si>
  <si>
    <t>Cost</t>
  </si>
  <si>
    <t>%</t>
  </si>
  <si>
    <t>Remarks</t>
  </si>
  <si>
    <t>Margin</t>
  </si>
  <si>
    <t>Amount of</t>
  </si>
  <si>
    <t>N.</t>
  </si>
  <si>
    <t>Profit after Tax</t>
  </si>
  <si>
    <t>Monthly</t>
  </si>
  <si>
    <t>Value</t>
  </si>
  <si>
    <t>Rate (%)</t>
  </si>
  <si>
    <t>ciation</t>
  </si>
  <si>
    <t>Plant &amp;</t>
  </si>
  <si>
    <t>Fixed</t>
  </si>
  <si>
    <t xml:space="preserve">Basis of </t>
  </si>
  <si>
    <t>Unit cons.</t>
  </si>
  <si>
    <t>Net Profit as per</t>
  </si>
  <si>
    <t>Purpose</t>
  </si>
  <si>
    <t>Value of</t>
  </si>
  <si>
    <t>Negative</t>
  </si>
  <si>
    <t>Name, Date</t>
  </si>
  <si>
    <t>Expected</t>
  </si>
  <si>
    <t>Description with broad</t>
  </si>
  <si>
    <t>Date of</t>
  </si>
  <si>
    <t>Sr. No.</t>
  </si>
  <si>
    <t>require-</t>
  </si>
  <si>
    <t>Required</t>
  </si>
  <si>
    <t>Bank</t>
  </si>
  <si>
    <t>Money</t>
  </si>
  <si>
    <t xml:space="preserve"> ESTIMATES OF COST OF PRODUCTION </t>
  </si>
  <si>
    <t>Numbers</t>
  </si>
  <si>
    <t>Salary</t>
  </si>
  <si>
    <t>Building</t>
  </si>
  <si>
    <t>Machinery</t>
  </si>
  <si>
    <t>Assets</t>
  </si>
  <si>
    <t>I</t>
  </si>
  <si>
    <t>Unit Cost</t>
  </si>
  <si>
    <t>Total Cost</t>
  </si>
  <si>
    <t>guaranteed</t>
  </si>
  <si>
    <t>Profitability Statement</t>
  </si>
  <si>
    <t>for which</t>
  </si>
  <si>
    <t>Security</t>
  </si>
  <si>
    <t>Trustees</t>
  </si>
  <si>
    <t>Conversion</t>
  </si>
  <si>
    <t>How &amp;</t>
  </si>
  <si>
    <t>Stipulated</t>
  </si>
  <si>
    <t>of</t>
  </si>
  <si>
    <t>security and</t>
  </si>
  <si>
    <t>charge</t>
  </si>
  <si>
    <t xml:space="preserve">Type of </t>
  </si>
  <si>
    <t>Floor Area</t>
  </si>
  <si>
    <t>Rate per</t>
  </si>
  <si>
    <t>and Amount</t>
  </si>
  <si>
    <t>date of</t>
  </si>
  <si>
    <t>specification with number</t>
  </si>
  <si>
    <t>Name of</t>
  </si>
  <si>
    <t>Order</t>
  </si>
  <si>
    <t>placement</t>
  </si>
  <si>
    <t xml:space="preserve">Expected </t>
  </si>
  <si>
    <t>Import</t>
  </si>
  <si>
    <t>Cost of Land and Building</t>
  </si>
  <si>
    <t>Land &amp; Site Development</t>
  </si>
  <si>
    <t>Land</t>
  </si>
  <si>
    <t>ments</t>
  </si>
  <si>
    <t>(%)</t>
  </si>
  <si>
    <t xml:space="preserve">Finance </t>
  </si>
  <si>
    <t>required</t>
  </si>
  <si>
    <t>A.</t>
  </si>
  <si>
    <t>Cost of Production as per</t>
  </si>
  <si>
    <t>O.</t>
  </si>
  <si>
    <t>Dividend on Equity Shares</t>
  </si>
  <si>
    <t>SOURCES OF FUNDS :</t>
  </si>
  <si>
    <t>Net Cash Accruals</t>
  </si>
  <si>
    <t>Rate of Depreciation</t>
  </si>
  <si>
    <t>-</t>
  </si>
  <si>
    <t>II</t>
  </si>
  <si>
    <t>Indigenous</t>
  </si>
  <si>
    <t>(per kg)</t>
  </si>
  <si>
    <t>Estimates</t>
  </si>
  <si>
    <t>Sources of Supply</t>
  </si>
  <si>
    <t>by collab.</t>
  </si>
  <si>
    <t>Debenture</t>
  </si>
  <si>
    <t>debentures</t>
  </si>
  <si>
    <t>charged</t>
  </si>
  <si>
    <t>for</t>
  </si>
  <si>
    <t>Original</t>
  </si>
  <si>
    <t>or other</t>
  </si>
  <si>
    <t>Main</t>
  </si>
  <si>
    <t>Name of the</t>
  </si>
  <si>
    <t>Nature of</t>
  </si>
  <si>
    <t>Maximum</t>
  </si>
  <si>
    <t>when</t>
  </si>
  <si>
    <t>margin</t>
  </si>
  <si>
    <t>guarantee,</t>
  </si>
  <si>
    <t>Rate of</t>
  </si>
  <si>
    <t>drawing</t>
  </si>
  <si>
    <t>on fixed</t>
  </si>
  <si>
    <t>Description of the Building</t>
  </si>
  <si>
    <t>Construction</t>
  </si>
  <si>
    <t>Floors</t>
  </si>
  <si>
    <t>Sq.. Ft.</t>
  </si>
  <si>
    <t>(in lacs)</t>
  </si>
  <si>
    <t>of contract</t>
  </si>
  <si>
    <t>completion</t>
  </si>
  <si>
    <t>of equipment to be</t>
  </si>
  <si>
    <t>the</t>
  </si>
  <si>
    <t>Country of</t>
  </si>
  <si>
    <t>placed or</t>
  </si>
  <si>
    <t>of order</t>
  </si>
  <si>
    <t xml:space="preserve">Date of </t>
  </si>
  <si>
    <t xml:space="preserve">Port of </t>
  </si>
  <si>
    <t>Basis of</t>
  </si>
  <si>
    <t>Insurance</t>
  </si>
  <si>
    <t>Duty</t>
  </si>
  <si>
    <t>specifications with number</t>
  </si>
  <si>
    <t>Sales</t>
  </si>
  <si>
    <t>Cost of Machinery</t>
  </si>
  <si>
    <t>Form XI</t>
  </si>
  <si>
    <t>Rate of Dividend (%)</t>
  </si>
  <si>
    <t xml:space="preserve">Factory Wages &amp; </t>
  </si>
  <si>
    <t>III</t>
  </si>
  <si>
    <t>Add: Depreciation</t>
  </si>
  <si>
    <t>Trust</t>
  </si>
  <si>
    <t>were</t>
  </si>
  <si>
    <t>and nature</t>
  </si>
  <si>
    <t>debenture</t>
  </si>
  <si>
    <t>Amortisation</t>
  </si>
  <si>
    <t>special</t>
  </si>
  <si>
    <t>holders of</t>
  </si>
  <si>
    <t>Restrictive</t>
  </si>
  <si>
    <t>Facility</t>
  </si>
  <si>
    <t>Limit</t>
  </si>
  <si>
    <t>repayable</t>
  </si>
  <si>
    <t>percentage</t>
  </si>
  <si>
    <t>if any</t>
  </si>
  <si>
    <t>Interest</t>
  </si>
  <si>
    <t>power</t>
  </si>
  <si>
    <t>outstanding</t>
  </si>
  <si>
    <t>assets</t>
  </si>
  <si>
    <t>purchase</t>
  </si>
  <si>
    <t>Manufacturer</t>
  </si>
  <si>
    <t>Origin</t>
  </si>
  <si>
    <t>not</t>
  </si>
  <si>
    <t>(actual/exp)</t>
  </si>
  <si>
    <t>Delivery</t>
  </si>
  <si>
    <t>Landing</t>
  </si>
  <si>
    <t>FOB value</t>
  </si>
  <si>
    <t>Valuation</t>
  </si>
  <si>
    <t>&amp; Freight</t>
  </si>
  <si>
    <t>(%) &amp; (Rs)</t>
  </si>
  <si>
    <t>of equipments to be</t>
  </si>
  <si>
    <t>Preliminary and Preoperative Expenses</t>
  </si>
  <si>
    <t>a.</t>
  </si>
  <si>
    <t>Raw Materials</t>
  </si>
  <si>
    <t>Salaries</t>
  </si>
  <si>
    <t>Interest on Term Loan</t>
  </si>
  <si>
    <t>Depreciation  -</t>
  </si>
  <si>
    <t>IV</t>
  </si>
  <si>
    <t>Raw Material</t>
  </si>
  <si>
    <t xml:space="preserve">        (Companies Act)</t>
  </si>
  <si>
    <t>Deed</t>
  </si>
  <si>
    <t>raised</t>
  </si>
  <si>
    <t>of charge</t>
  </si>
  <si>
    <t>holders</t>
  </si>
  <si>
    <t>Issue</t>
  </si>
  <si>
    <t>Outstanding</t>
  </si>
  <si>
    <t>Schedule</t>
  </si>
  <si>
    <t>provision</t>
  </si>
  <si>
    <t>Covenants</t>
  </si>
  <si>
    <t>RCC</t>
  </si>
  <si>
    <t>A</t>
  </si>
  <si>
    <t>Already Imported</t>
  </si>
  <si>
    <t>purchased</t>
  </si>
  <si>
    <t>Quantity</t>
  </si>
  <si>
    <t>FOR Price</t>
  </si>
  <si>
    <t>Variable Exp.</t>
  </si>
  <si>
    <t xml:space="preserve">  </t>
  </si>
  <si>
    <t>Contingency Provisions</t>
  </si>
  <si>
    <t xml:space="preserve">land </t>
  </si>
  <si>
    <t xml:space="preserve"> - Indigenous</t>
  </si>
  <si>
    <t>Capacity Utilisation</t>
  </si>
  <si>
    <t>B.</t>
  </si>
  <si>
    <t>Administrative Expenses</t>
  </si>
  <si>
    <t>P.</t>
  </si>
  <si>
    <t>Retained Profit</t>
  </si>
  <si>
    <t>W D V</t>
  </si>
  <si>
    <t>Main plant and equipment</t>
  </si>
  <si>
    <t>Nil</t>
  </si>
  <si>
    <t>PBIDT</t>
  </si>
  <si>
    <t>Installed Capacity, Production and Sales</t>
  </si>
  <si>
    <t>Plant &amp; Machinery</t>
  </si>
  <si>
    <t xml:space="preserve"> - Imported</t>
  </si>
  <si>
    <t>Raw Material &amp; Components</t>
  </si>
  <si>
    <t>Workers</t>
  </si>
  <si>
    <t>Reserves &amp; Surplus</t>
  </si>
  <si>
    <t>Total (a)</t>
  </si>
  <si>
    <t>Prevailing</t>
  </si>
  <si>
    <t>Misc. fixed assets</t>
  </si>
  <si>
    <t>Already Acquired</t>
  </si>
  <si>
    <t>Requirement of Raw Material</t>
  </si>
  <si>
    <t>b.</t>
  </si>
  <si>
    <t>Site Development</t>
  </si>
  <si>
    <t>Add:</t>
  </si>
  <si>
    <t>Share Capital</t>
  </si>
  <si>
    <t xml:space="preserve">Market </t>
  </si>
  <si>
    <t>Less: Depreciation</t>
  </si>
  <si>
    <t>Stores &amp; Spares</t>
  </si>
  <si>
    <t>Factory Expenses - Wages &amp; Salaries, Factory Overheads</t>
  </si>
  <si>
    <t xml:space="preserve">   i) Raw Materials</t>
  </si>
  <si>
    <t>Light, Postage, Telegrams</t>
  </si>
  <si>
    <t>Depreciation</t>
  </si>
  <si>
    <t>No. of Working Days</t>
  </si>
  <si>
    <t>Skilled</t>
  </si>
  <si>
    <t>Misc. Fixed Assets</t>
  </si>
  <si>
    <t>Repayment of Term Loan</t>
  </si>
  <si>
    <t xml:space="preserve">         (Income Tax Act)</t>
  </si>
  <si>
    <t>NIL</t>
  </si>
  <si>
    <t>B</t>
  </si>
  <si>
    <t>Proposed to be imported</t>
  </si>
  <si>
    <t>Packing Material</t>
  </si>
  <si>
    <t>Estimation of Cost of Production</t>
  </si>
  <si>
    <t>Building &amp; Civil Work</t>
  </si>
  <si>
    <t xml:space="preserve">      - Local</t>
  </si>
  <si>
    <t>Telephone &amp; Office</t>
  </si>
  <si>
    <t>Preliminary Expenses W/off</t>
  </si>
  <si>
    <t>Semi-Skilled</t>
  </si>
  <si>
    <t>Term Loan</t>
  </si>
  <si>
    <t>Loan Funds</t>
  </si>
  <si>
    <t>Iv</t>
  </si>
  <si>
    <t xml:space="preserve">Power &amp; Fuel </t>
  </si>
  <si>
    <t>Depreciation &amp; Non Cash Exp.</t>
  </si>
  <si>
    <t>Requirement of Working Capital</t>
  </si>
  <si>
    <t>Supplies etc.</t>
  </si>
  <si>
    <t>No. of Shifts</t>
  </si>
  <si>
    <t>Profit before taxation</t>
  </si>
  <si>
    <t>a. Term Loan</t>
  </si>
  <si>
    <t>Imported</t>
  </si>
  <si>
    <t>Brought forward losses</t>
  </si>
  <si>
    <t>Proposed to be acquired</t>
  </si>
  <si>
    <t>Labour</t>
  </si>
  <si>
    <t>Margin Money and Bank Finance for Working Capital</t>
  </si>
  <si>
    <t>Factory Building for the main plant &amp;</t>
  </si>
  <si>
    <t>Misc. Office Expenses</t>
  </si>
  <si>
    <t>Q.</t>
  </si>
  <si>
    <t>with interest added back</t>
  </si>
  <si>
    <t>b. Working Capital Loan</t>
  </si>
  <si>
    <t>Carry forward losses</t>
  </si>
  <si>
    <t>Utilities</t>
  </si>
  <si>
    <t>Factory Exp.</t>
  </si>
  <si>
    <t>Tax</t>
  </si>
  <si>
    <t>Total Cost of the Project</t>
  </si>
  <si>
    <t>Equipment</t>
  </si>
  <si>
    <t xml:space="preserve">  ii) Stores, spares &amp; </t>
  </si>
  <si>
    <t>Total Administrative Expenses:</t>
  </si>
  <si>
    <t>Estimated production per day</t>
  </si>
  <si>
    <t>Increase in bank</t>
  </si>
  <si>
    <t>Total (b)</t>
  </si>
  <si>
    <t>Total Income</t>
  </si>
  <si>
    <t>Selling &amp; Distribution Exp.</t>
  </si>
  <si>
    <t>Means of Finance</t>
  </si>
  <si>
    <t>Factory Compound wall &amp; Gate</t>
  </si>
  <si>
    <t xml:space="preserve">      Consumable</t>
  </si>
  <si>
    <t>borrowings for working</t>
  </si>
  <si>
    <t>Interest - Working Capital Loan</t>
  </si>
  <si>
    <t>Profit After Tax</t>
  </si>
  <si>
    <t>Depreciation and Interest.</t>
  </si>
  <si>
    <t>c.</t>
  </si>
  <si>
    <t>Administrative Building</t>
  </si>
  <si>
    <t>Estimated Annual Production</t>
  </si>
  <si>
    <t>capital</t>
  </si>
  <si>
    <t>D.S.C.R. (a/b)</t>
  </si>
  <si>
    <t xml:space="preserve">                        VARIABLE COST</t>
  </si>
  <si>
    <t>Working Results - PBT</t>
  </si>
  <si>
    <t>e.</t>
  </si>
  <si>
    <t>Misc. Non-Factory Building, like</t>
  </si>
  <si>
    <t xml:space="preserve"> iii) Packing Material</t>
  </si>
  <si>
    <t>Net Profit Ratio (N/F)</t>
  </si>
  <si>
    <t>Factory Supervision</t>
  </si>
  <si>
    <t>Taxable Income</t>
  </si>
  <si>
    <t>Architect's fees</t>
  </si>
  <si>
    <t xml:space="preserve">                         CONTRIBUTION   </t>
  </si>
  <si>
    <t>Tax Provision</t>
  </si>
  <si>
    <t>canteen guest house, time office,</t>
  </si>
  <si>
    <t>Factory Overheads</t>
  </si>
  <si>
    <t>D.</t>
  </si>
  <si>
    <t>Selling &amp; Distribution Expenses</t>
  </si>
  <si>
    <t>P &amp; P Expenses W/off</t>
  </si>
  <si>
    <t>:Average D.S.C.R.</t>
  </si>
  <si>
    <t>B.  LONG TERM SECURED LOANS :</t>
  </si>
  <si>
    <t xml:space="preserve">                           P/V RATIO</t>
  </si>
  <si>
    <t>Working Results</t>
  </si>
  <si>
    <t>excise house, canteen, roads, gutters, etc.</t>
  </si>
  <si>
    <t>Total (1) ::</t>
  </si>
  <si>
    <t>Earnings per share</t>
  </si>
  <si>
    <t>Factory Manager</t>
  </si>
  <si>
    <t>APPLICATION OF FUNDS:</t>
  </si>
  <si>
    <t>Balance Sheet</t>
  </si>
  <si>
    <t>f.</t>
  </si>
  <si>
    <t>Stock of Finished</t>
  </si>
  <si>
    <t>E.</t>
  </si>
  <si>
    <t>Total Cost of Sales</t>
  </si>
  <si>
    <t>Supervisors</t>
  </si>
  <si>
    <t>Fixed Expenses</t>
  </si>
  <si>
    <t>Cash Flow Statement</t>
  </si>
  <si>
    <t>g.</t>
  </si>
  <si>
    <t>Elevated water reservoir</t>
  </si>
  <si>
    <t>Goods</t>
  </si>
  <si>
    <t>(A+B+C+D)</t>
  </si>
  <si>
    <t>Cash Earnings per share</t>
  </si>
  <si>
    <t>DISPOSITION OF FUNDS :</t>
  </si>
  <si>
    <t>Fixed Assets</t>
  </si>
  <si>
    <t>Institution</t>
  </si>
  <si>
    <t>Total Net Worth</t>
  </si>
  <si>
    <t>DSCR and BEP</t>
  </si>
  <si>
    <t>from whom</t>
  </si>
  <si>
    <t>Purpose of</t>
  </si>
  <si>
    <t>(Rs. in</t>
  </si>
  <si>
    <t>creation of</t>
  </si>
  <si>
    <t>Defaults,</t>
  </si>
  <si>
    <t>FORM IV</t>
  </si>
  <si>
    <t>Administrative Exp.</t>
  </si>
  <si>
    <t>IRR</t>
  </si>
  <si>
    <t xml:space="preserve">Stock of Goods in </t>
  </si>
  <si>
    <t>Power, Fuel &amp; Water</t>
  </si>
  <si>
    <t>F.</t>
  </si>
  <si>
    <t>Estimated Sales</t>
  </si>
  <si>
    <t>Interest Coverage Ratio (G/H)</t>
  </si>
  <si>
    <t>Estimated output (%)</t>
  </si>
  <si>
    <t xml:space="preserve">Net Fixed Assets ::  </t>
  </si>
  <si>
    <t>loan raised</t>
  </si>
  <si>
    <t>the loan</t>
  </si>
  <si>
    <t>lacs)</t>
  </si>
  <si>
    <t>DISTRIBUTION OF SHAREHOLDINGS</t>
  </si>
  <si>
    <t>Sensitivity Analysis.</t>
  </si>
  <si>
    <t>Process</t>
  </si>
  <si>
    <t xml:space="preserve"> - Local</t>
  </si>
  <si>
    <t>Preliminary Expenses</t>
  </si>
  <si>
    <t>(Rs in lacs)</t>
  </si>
  <si>
    <t>i.</t>
  </si>
  <si>
    <t>Total (2) ::</t>
  </si>
  <si>
    <t>Debt Equity Ratio</t>
  </si>
  <si>
    <t>Equity</t>
  </si>
  <si>
    <t>Prelim. Exp. W/off</t>
  </si>
  <si>
    <t>a. CIF value</t>
  </si>
  <si>
    <t>Outstanding Debtors</t>
  </si>
  <si>
    <t>Administrative &amp; Sales</t>
  </si>
  <si>
    <t>Increase in Net Current</t>
  </si>
  <si>
    <t xml:space="preserve">                        FIXED EXPENSES</t>
  </si>
  <si>
    <t>b. Shipping, Freight &amp; Insurance</t>
  </si>
  <si>
    <t>Labor Overheads</t>
  </si>
  <si>
    <t>G.</t>
  </si>
  <si>
    <t>Profit before depreciation</t>
  </si>
  <si>
    <t>Assets Coverage Ratio</t>
  </si>
  <si>
    <t>Current Assets :</t>
  </si>
  <si>
    <t>Interest &amp; Tax (F-E)</t>
  </si>
  <si>
    <t>(Fixed Assets/Term Loan)</t>
  </si>
  <si>
    <t>Managers</t>
  </si>
  <si>
    <t>Decrease in Term Loan</t>
  </si>
  <si>
    <t>Indian</t>
  </si>
  <si>
    <t xml:space="preserve">       BREAK EVEN POINT(VALUE) </t>
  </si>
  <si>
    <t>d. Clearing, forwarding &amp; transportation</t>
  </si>
  <si>
    <t>Officers</t>
  </si>
  <si>
    <t xml:space="preserve">Interest </t>
  </si>
  <si>
    <t xml:space="preserve"> - Inventory</t>
  </si>
  <si>
    <t>Promoters</t>
  </si>
  <si>
    <t xml:space="preserve">                   CASH B E P (VALUE)</t>
  </si>
  <si>
    <t>BEP</t>
  </si>
  <si>
    <t xml:space="preserve">Less: </t>
  </si>
  <si>
    <t>Factory Staff</t>
  </si>
  <si>
    <t>H.</t>
  </si>
  <si>
    <t>Financial Expenses</t>
  </si>
  <si>
    <t>D S C R</t>
  </si>
  <si>
    <t>Clerks</t>
  </si>
  <si>
    <t xml:space="preserve">  - Term Loan</t>
  </si>
  <si>
    <t xml:space="preserve"> - Sundry Debtors</t>
  </si>
  <si>
    <t>(Name of</t>
  </si>
  <si>
    <t xml:space="preserve">       BREAK EVEN POINT(%)</t>
  </si>
  <si>
    <t>ii.</t>
  </si>
  <si>
    <t>Trade Creditors</t>
  </si>
  <si>
    <t xml:space="preserve"> - Cash &amp; Bank Balances</t>
  </si>
  <si>
    <t>major groups)</t>
  </si>
  <si>
    <t>Cash BEP</t>
  </si>
  <si>
    <t>a. FOR cost</t>
  </si>
  <si>
    <t>Total (3) ::</t>
  </si>
  <si>
    <t>Taxes</t>
  </si>
  <si>
    <t xml:space="preserve">       CASH BREAK EVEN POINT (%)</t>
  </si>
  <si>
    <t>b. Excise Sales Tax and other taxes</t>
  </si>
  <si>
    <t xml:space="preserve"> - Term Loan</t>
  </si>
  <si>
    <t>Dividend (Equity)</t>
  </si>
  <si>
    <t>DSCR</t>
  </si>
  <si>
    <t>c. Railway Freight &amp; Transport Charges</t>
  </si>
  <si>
    <t xml:space="preserve"> - Working Capital Loan</t>
  </si>
  <si>
    <t>Foreign</t>
  </si>
  <si>
    <t>Opening Balance</t>
  </si>
  <si>
    <t>Collaborators</t>
  </si>
  <si>
    <t>iii.</t>
  </si>
  <si>
    <t>Machinery, Stores &amp; Spares</t>
  </si>
  <si>
    <t xml:space="preserve">   i) Repairs &amp; Maintenance</t>
  </si>
  <si>
    <t>I.</t>
  </si>
  <si>
    <t>Total (Rs. in Lacs) ::</t>
  </si>
  <si>
    <t>Net Surplus(Deficit)</t>
  </si>
  <si>
    <t xml:space="preserve">  ii) Insurance &amp; Taxes</t>
  </si>
  <si>
    <t>Closing Balance</t>
  </si>
  <si>
    <t>State Govt.</t>
  </si>
  <si>
    <t>iv.</t>
  </si>
  <si>
    <t>Foundation &amp; Installation</t>
  </si>
  <si>
    <t>J.</t>
  </si>
  <si>
    <t>Operating Profit</t>
  </si>
  <si>
    <t>Charges</t>
  </si>
  <si>
    <t>Central Govt.</t>
  </si>
  <si>
    <t>Total (4)</t>
  </si>
  <si>
    <t>K.</t>
  </si>
  <si>
    <t>SIDC</t>
  </si>
  <si>
    <t>COST OF PRODUCTION</t>
  </si>
  <si>
    <t>Profit before Tax</t>
  </si>
  <si>
    <t>Technical know-how fees and</t>
  </si>
  <si>
    <t>(1+2+3+4)</t>
  </si>
  <si>
    <t>FIs</t>
  </si>
  <si>
    <t>expenses on drawing etc. payable to</t>
  </si>
  <si>
    <t>STATEMENT SHOWING REQUIREMENT OF WORKING CAPITAL</t>
  </si>
  <si>
    <t>technical collaborators</t>
  </si>
  <si>
    <t>Public &amp;</t>
  </si>
  <si>
    <t>Period</t>
  </si>
  <si>
    <t>Sensitivity Analysis :</t>
  </si>
  <si>
    <t>Others</t>
  </si>
  <si>
    <t>Miscellaneous Fixed Assets</t>
  </si>
  <si>
    <t>Factors</t>
  </si>
  <si>
    <t>Avg.</t>
  </si>
  <si>
    <t>Oprating</t>
  </si>
  <si>
    <t>Cash</t>
  </si>
  <si>
    <t>Furniture &amp; Office Equipments</t>
  </si>
  <si>
    <t xml:space="preserve">Base Case </t>
  </si>
  <si>
    <t>Vehicles</t>
  </si>
  <si>
    <t>Equipment's (including cost of installation)</t>
  </si>
  <si>
    <t>Increase in COP by 5%</t>
  </si>
  <si>
    <t>Shares issued for consideration other than cash :</t>
  </si>
  <si>
    <t>cabling etc. for distribution of power</t>
  </si>
  <si>
    <t>and light for the factory</t>
  </si>
  <si>
    <t>Decrease in S.P. by 5%</t>
  </si>
  <si>
    <t>No. of shares</t>
  </si>
  <si>
    <t>Conside-</t>
  </si>
  <si>
    <t>d.</t>
  </si>
  <si>
    <t>Equipment's and piping for supply and</t>
  </si>
  <si>
    <t>Work in progress</t>
  </si>
  <si>
    <t>the party</t>
  </si>
  <si>
    <t>shares</t>
  </si>
  <si>
    <t>issue</t>
  </si>
  <si>
    <t xml:space="preserve"> -ration</t>
  </si>
  <si>
    <t>treatment of water (including cost of</t>
  </si>
  <si>
    <t>Decrease in Capacity Utilization by 5%</t>
  </si>
  <si>
    <t>installation)</t>
  </si>
  <si>
    <t>Finished Goods</t>
  </si>
  <si>
    <t>Laboratory, Workshop &amp; Fire Fighting</t>
  </si>
  <si>
    <t>Combination of all of the above</t>
  </si>
  <si>
    <t>Equipment's</t>
  </si>
  <si>
    <t>Effluent treatment and disposal</t>
  </si>
  <si>
    <t>Sundry Creditors</t>
  </si>
  <si>
    <t>Working Capital Gap</t>
  </si>
  <si>
    <t>Margin for W/Capital</t>
  </si>
  <si>
    <t>Bank Loan</t>
  </si>
  <si>
    <t>Working Capital Margin</t>
  </si>
  <si>
    <t>Total ::</t>
  </si>
  <si>
    <t>Installed Capacity</t>
  </si>
  <si>
    <t>Units</t>
  </si>
  <si>
    <t>per</t>
  </si>
  <si>
    <t>Net Working Capital</t>
  </si>
  <si>
    <t>Provision for contingency</t>
  </si>
  <si>
    <t>0`100</t>
  </si>
  <si>
    <t>Others (Electrical Fittings)</t>
  </si>
  <si>
    <t>The Bharat</t>
  </si>
  <si>
    <t>Co-op Bank</t>
  </si>
  <si>
    <t>(Mumbai)</t>
  </si>
  <si>
    <t>Ltd.</t>
  </si>
  <si>
    <t>Project</t>
  </si>
  <si>
    <t>Finance</t>
  </si>
  <si>
    <t>50 Lacs</t>
  </si>
  <si>
    <t>48 Lacs</t>
  </si>
  <si>
    <t>Factory</t>
  </si>
  <si>
    <t>- 9 -</t>
  </si>
  <si>
    <t>- 13 -</t>
  </si>
  <si>
    <t>- 16 -</t>
  </si>
  <si>
    <t xml:space="preserve">Total Project </t>
  </si>
  <si>
    <t>Ton</t>
  </si>
  <si>
    <t>Estimated  Sales</t>
  </si>
  <si>
    <t xml:space="preserve">Estimated Sales </t>
  </si>
  <si>
    <t>Perks 10%</t>
  </si>
  <si>
    <t>Income Tax</t>
  </si>
  <si>
    <t>Particulars of Existing Debentures and Long Term Secured Loans</t>
  </si>
  <si>
    <t>Pre-opertive expenses</t>
  </si>
  <si>
    <t>------------------------------------------------------ Nil -----------------------------------------------------</t>
  </si>
  <si>
    <t>Telephone &amp; Office Supplies etc.</t>
  </si>
  <si>
    <t>C</t>
  </si>
  <si>
    <t>D</t>
  </si>
  <si>
    <t>E</t>
  </si>
  <si>
    <t>F</t>
  </si>
  <si>
    <t>G</t>
  </si>
  <si>
    <t>H</t>
  </si>
  <si>
    <t>J</t>
  </si>
  <si>
    <t>K</t>
  </si>
  <si>
    <t xml:space="preserve"> - Sales</t>
  </si>
  <si>
    <t>Preliminary &amp; Preoperative Exp</t>
  </si>
  <si>
    <t xml:space="preserve">  i) Insurance &amp; Taxes</t>
  </si>
  <si>
    <t xml:space="preserve"> ii) Other Factory Overheads</t>
  </si>
  <si>
    <t xml:space="preserve"> - Local Sales - Mfg.</t>
  </si>
  <si>
    <t xml:space="preserve">  iii) Stores, spares &amp; </t>
  </si>
  <si>
    <t xml:space="preserve"> iv) Packing Material</t>
  </si>
  <si>
    <t xml:space="preserve">Sundry Creditors </t>
  </si>
  <si>
    <t>Promoters Contribution to Total Project</t>
  </si>
  <si>
    <t xml:space="preserve">Cost of  ____ Square Metres of leasehold </t>
  </si>
  <si>
    <t>Share Holder Funds</t>
  </si>
  <si>
    <t>Cap. Wip / Investments</t>
  </si>
  <si>
    <t>2011-12</t>
  </si>
  <si>
    <t>2012-13</t>
  </si>
  <si>
    <t>2013-14</t>
  </si>
  <si>
    <t>2014-15</t>
  </si>
  <si>
    <t>2015-16</t>
  </si>
  <si>
    <t>2016-17</t>
  </si>
  <si>
    <t>(Rs. in Crores)</t>
  </si>
  <si>
    <t>2017-18</t>
  </si>
  <si>
    <t>2018-19</t>
  </si>
  <si>
    <t xml:space="preserve">   i) Raw Materials </t>
  </si>
  <si>
    <t>(ECB / FCNR Term Loan for POY division for 1+5 years)</t>
  </si>
  <si>
    <t>Provision for Contingency</t>
  </si>
  <si>
    <t>** Interest (Libor + 4%) Cost includs hedging cost</t>
  </si>
  <si>
    <t>2010-11</t>
  </si>
  <si>
    <t xml:space="preserve">      - POY - Captive Consumption</t>
  </si>
  <si>
    <t>Term Loan No.</t>
  </si>
  <si>
    <t>Sanctioned Amt</t>
  </si>
  <si>
    <t>EMI</t>
  </si>
  <si>
    <t>V</t>
  </si>
  <si>
    <t>VI</t>
  </si>
  <si>
    <t>2009-10</t>
  </si>
  <si>
    <t>EMI Starting date</t>
  </si>
  <si>
    <t>Installment - Repayment of Principal</t>
  </si>
  <si>
    <t>O/s as on 31-03-09</t>
  </si>
  <si>
    <t>Total Repayment</t>
  </si>
  <si>
    <t>Balance Loan</t>
  </si>
  <si>
    <t>Interest - Term Loan</t>
  </si>
  <si>
    <t>Interest on Term Loan (Approx)</t>
  </si>
  <si>
    <t>In Crores</t>
  </si>
  <si>
    <t xml:space="preserve">Quasi Equity </t>
  </si>
  <si>
    <t>2a</t>
  </si>
  <si>
    <t xml:space="preserve">Preoperative Expenses </t>
  </si>
  <si>
    <t xml:space="preserve"> - Local Sales </t>
  </si>
  <si>
    <t xml:space="preserve">            - W. Cap. Loan</t>
  </si>
  <si>
    <t>Opearting Profit Ratio (G/F)</t>
  </si>
  <si>
    <t>Quasi Equity</t>
  </si>
  <si>
    <t>Total (Rs. in Crores) ::</t>
  </si>
  <si>
    <t>Net Profit Ratio (N/E)</t>
  </si>
  <si>
    <t xml:space="preserve">      - POY - Purchased</t>
  </si>
  <si>
    <t>Operating Profit Ratio (J/F)</t>
  </si>
  <si>
    <t>Operating Profit Ratio (F/E)</t>
  </si>
  <si>
    <t>(as per WDV basis of Schedule XIV of the Companies Act, 1956)</t>
  </si>
  <si>
    <r>
      <t xml:space="preserve">Sales Price </t>
    </r>
    <r>
      <rPr>
        <sz val="12"/>
        <rFont val="Cambria"/>
        <family val="1"/>
      </rPr>
      <t>(Avg.)</t>
    </r>
  </si>
  <si>
    <r>
      <t xml:space="preserve">Selling Price </t>
    </r>
    <r>
      <rPr>
        <i/>
        <sz val="11"/>
        <rFont val="Calibri"/>
        <family val="2"/>
      </rPr>
      <t>(Average)</t>
    </r>
  </si>
  <si>
    <t>b. Secured Loan</t>
  </si>
  <si>
    <t xml:space="preserve"> Investments</t>
  </si>
  <si>
    <t xml:space="preserve"> - Loans &amp; Advances</t>
  </si>
  <si>
    <t>Total Sales</t>
  </si>
  <si>
    <t xml:space="preserve"> iii) Other Factory Overheads</t>
  </si>
  <si>
    <t>iv) interming Exp.</t>
  </si>
  <si>
    <t>C.</t>
  </si>
  <si>
    <t>90*1000/10000000</t>
  </si>
  <si>
    <t>Interest - Secured Loan</t>
  </si>
  <si>
    <t>Perence</t>
  </si>
  <si>
    <t>Unsecured Loan (Quasi Equity)</t>
  </si>
  <si>
    <t>c. Import Duty @ 10%</t>
  </si>
  <si>
    <t>Profit Before Tax</t>
  </si>
  <si>
    <t>Director's Remunaration</t>
  </si>
  <si>
    <t>Column2</t>
  </si>
  <si>
    <t>Column3</t>
  </si>
  <si>
    <t>Column4</t>
  </si>
  <si>
    <t>MEANS OF FINANCE</t>
  </si>
  <si>
    <t>MARGIN MONEY FOR WORKING CAPITAL</t>
  </si>
  <si>
    <t xml:space="preserve">  - Working Capital Loan</t>
  </si>
  <si>
    <t>Quasi Equity Capital</t>
  </si>
  <si>
    <t>ESTIMATED COST OF THE PROJECT</t>
  </si>
  <si>
    <t xml:space="preserve"> ESTIMATES OF COST OF PRODUCTION</t>
  </si>
  <si>
    <t xml:space="preserve">ESTIMATION OF PRODUCTION &amp; SALES </t>
  </si>
  <si>
    <t>CASH FLOW STATEMENT</t>
  </si>
  <si>
    <t xml:space="preserve">CALCULATION OF DEPRECIATION </t>
  </si>
  <si>
    <t>DEBT SERVICE COVERAGE RATIO</t>
  </si>
  <si>
    <t>Column</t>
  </si>
  <si>
    <t>Summary Financials</t>
  </si>
  <si>
    <t xml:space="preserve">Share Capital </t>
  </si>
  <si>
    <t>Ltrs</t>
  </si>
  <si>
    <t>2022-23</t>
  </si>
  <si>
    <t>2023-24</t>
  </si>
  <si>
    <t>2024-25</t>
  </si>
  <si>
    <t>2025-26</t>
  </si>
  <si>
    <t>2026-27</t>
  </si>
  <si>
    <t>2027-28</t>
  </si>
  <si>
    <t>2028-29</t>
  </si>
  <si>
    <t xml:space="preserve">      - Chemicals</t>
  </si>
  <si>
    <t xml:space="preserve">Month's </t>
  </si>
  <si>
    <t xml:space="preserve">Interest on Term Loan </t>
  </si>
  <si>
    <t>Product A</t>
  </si>
  <si>
    <t>Product B</t>
  </si>
  <si>
    <t>2029-30</t>
  </si>
  <si>
    <t>(Rupee Term Loan for 1+6 years)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</si>
</sst>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%"/>
    <numFmt numFmtId="175" formatCode="0.000000"/>
    <numFmt numFmtId="176" formatCode="_(* #,##0_);_(* \(#,##0\);_(* &quot;-&quot;??_);_(@_)"/>
    <numFmt numFmtId="177" formatCode="0.00_);\(0.00\)"/>
    <numFmt numFmtId="178" formatCode="0.00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Cambria"/>
      <family val="1"/>
    </font>
    <font>
      <u val="single"/>
      <sz val="12"/>
      <name val="Cambria"/>
      <family val="1"/>
    </font>
    <font>
      <b/>
      <i/>
      <u val="single"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Book Antiqua"/>
      <family val="1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1"/>
      <name val="Cambria"/>
      <family val="1"/>
    </font>
    <font>
      <i/>
      <sz val="11"/>
      <name val="Book Antiqua"/>
      <family val="1"/>
    </font>
    <font>
      <i/>
      <sz val="10"/>
      <name val="Book Antiqu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i/>
      <sz val="11"/>
      <name val="Book Antiqua"/>
      <family val="1"/>
    </font>
    <font>
      <u val="single"/>
      <sz val="11"/>
      <name val="Calibri"/>
      <family val="2"/>
    </font>
    <font>
      <sz val="8"/>
      <name val="Verdana"/>
      <family val="2"/>
    </font>
    <font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i/>
      <u val="single"/>
      <sz val="11"/>
      <color indexed="10"/>
      <name val="Calibri"/>
      <family val="2"/>
    </font>
    <font>
      <i/>
      <u val="single"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Verdana"/>
      <family val="2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i/>
      <u val="single"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Verdana"/>
      <family val="2"/>
    </font>
    <font>
      <sz val="12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double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double"/>
      <right style="thin"/>
      <top/>
      <bottom/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17" fontId="2" fillId="0" borderId="0" xfId="0" applyNumberFormat="1" applyFont="1" applyBorder="1" applyAlignment="1">
      <alignment horizontal="center"/>
    </xf>
    <xf numFmtId="176" fontId="2" fillId="0" borderId="0" xfId="42" applyNumberFormat="1" applyFont="1" applyBorder="1" applyAlignment="1">
      <alignment/>
    </xf>
    <xf numFmtId="171" fontId="2" fillId="0" borderId="13" xfId="42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6" fontId="2" fillId="0" borderId="19" xfId="42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2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30" xfId="0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171" fontId="6" fillId="0" borderId="10" xfId="42" applyFont="1" applyBorder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71" fontId="6" fillId="0" borderId="10" xfId="42" applyFont="1" applyBorder="1" applyAlignment="1">
      <alignment/>
    </xf>
    <xf numFmtId="0" fontId="6" fillId="0" borderId="34" xfId="0" applyFont="1" applyBorder="1" applyAlignment="1">
      <alignment/>
    </xf>
    <xf numFmtId="2" fontId="6" fillId="0" borderId="3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1" fontId="6" fillId="0" borderId="27" xfId="42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6" fillId="0" borderId="33" xfId="0" applyFont="1" applyBorder="1" applyAlignment="1" quotePrefix="1">
      <alignment horizontal="right"/>
    </xf>
    <xf numFmtId="2" fontId="6" fillId="0" borderId="35" xfId="0" applyNumberFormat="1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36" xfId="0" applyFont="1" applyBorder="1" applyAlignment="1" quotePrefix="1">
      <alignment horizontal="right"/>
    </xf>
    <xf numFmtId="0" fontId="6" fillId="0" borderId="37" xfId="0" applyFont="1" applyBorder="1" applyAlignment="1">
      <alignment/>
    </xf>
    <xf numFmtId="171" fontId="6" fillId="0" borderId="11" xfId="42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3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2" fontId="7" fillId="0" borderId="0" xfId="0" applyNumberFormat="1" applyFont="1" applyAlignment="1">
      <alignment/>
    </xf>
    <xf numFmtId="9" fontId="7" fillId="0" borderId="0" xfId="59" applyNumberFormat="1" applyFont="1" applyAlignment="1">
      <alignment/>
    </xf>
    <xf numFmtId="9" fontId="6" fillId="0" borderId="27" xfId="59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10" fontId="6" fillId="0" borderId="11" xfId="59" applyNumberFormat="1" applyFont="1" applyBorder="1" applyAlignment="1">
      <alignment horizontal="center"/>
    </xf>
    <xf numFmtId="9" fontId="6" fillId="0" borderId="11" xfId="59" applyFont="1" applyBorder="1" applyAlignment="1">
      <alignment/>
    </xf>
    <xf numFmtId="9" fontId="6" fillId="0" borderId="11" xfId="59" applyFont="1" applyBorder="1" applyAlignment="1">
      <alignment horizontal="center"/>
    </xf>
    <xf numFmtId="10" fontId="6" fillId="0" borderId="11" xfId="42" applyNumberFormat="1" applyFont="1" applyBorder="1" applyAlignment="1">
      <alignment horizontal="center"/>
    </xf>
    <xf numFmtId="9" fontId="6" fillId="0" borderId="39" xfId="59" applyFont="1" applyBorder="1" applyAlignment="1">
      <alignment/>
    </xf>
    <xf numFmtId="0" fontId="6" fillId="0" borderId="11" xfId="0" applyFont="1" applyBorder="1" applyAlignment="1">
      <alignment horizontal="left"/>
    </xf>
    <xf numFmtId="9" fontId="6" fillId="0" borderId="11" xfId="0" applyNumberFormat="1" applyFont="1" applyBorder="1" applyAlignment="1">
      <alignment/>
    </xf>
    <xf numFmtId="0" fontId="10" fillId="0" borderId="11" xfId="0" applyFont="1" applyBorder="1" applyAlignment="1" quotePrefix="1">
      <alignment horizontal="left"/>
    </xf>
    <xf numFmtId="1" fontId="6" fillId="0" borderId="11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11" xfId="0" applyFont="1" applyBorder="1" applyAlignment="1" quotePrefix="1">
      <alignment horizontal="right"/>
    </xf>
    <xf numFmtId="2" fontId="6" fillId="0" borderId="40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0" fontId="6" fillId="0" borderId="31" xfId="0" applyFont="1" applyBorder="1" applyAlignment="1" quotePrefix="1">
      <alignment horizontal="left"/>
    </xf>
    <xf numFmtId="10" fontId="6" fillId="0" borderId="11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10" fontId="6" fillId="0" borderId="11" xfId="59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34" xfId="0" applyFont="1" applyBorder="1" applyAlignment="1">
      <alignment horizontal="centerContinuous"/>
    </xf>
    <xf numFmtId="0" fontId="6" fillId="0" borderId="42" xfId="0" applyFont="1" applyBorder="1" applyAlignment="1">
      <alignment/>
    </xf>
    <xf numFmtId="0" fontId="6" fillId="0" borderId="10" xfId="0" applyFont="1" applyBorder="1" applyAlignment="1" quotePrefix="1">
      <alignment horizontal="right"/>
    </xf>
    <xf numFmtId="0" fontId="6" fillId="0" borderId="32" xfId="0" applyFont="1" applyBorder="1" applyAlignment="1">
      <alignment horizontal="centerContinuous"/>
    </xf>
    <xf numFmtId="9" fontId="6" fillId="0" borderId="27" xfId="59" applyFont="1" applyBorder="1" applyAlignment="1">
      <alignment horizontal="center"/>
    </xf>
    <xf numFmtId="0" fontId="6" fillId="0" borderId="30" xfId="0" applyFont="1" applyBorder="1" applyAlignment="1" quotePrefix="1">
      <alignment horizontal="left"/>
    </xf>
    <xf numFmtId="2" fontId="6" fillId="0" borderId="32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10" fontId="6" fillId="0" borderId="31" xfId="59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/>
    </xf>
    <xf numFmtId="9" fontId="6" fillId="0" borderId="11" xfId="0" applyNumberFormat="1" applyFont="1" applyBorder="1" applyAlignment="1" quotePrefix="1">
      <alignment horizontal="right"/>
    </xf>
    <xf numFmtId="171" fontId="6" fillId="0" borderId="41" xfId="42" applyFont="1" applyBorder="1" applyAlignment="1">
      <alignment/>
    </xf>
    <xf numFmtId="171" fontId="6" fillId="0" borderId="43" xfId="42" applyFont="1" applyBorder="1" applyAlignment="1">
      <alignment/>
    </xf>
    <xf numFmtId="2" fontId="6" fillId="0" borderId="44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2" fontId="6" fillId="0" borderId="46" xfId="0" applyNumberFormat="1" applyFont="1" applyBorder="1" applyAlignment="1">
      <alignment/>
    </xf>
    <xf numFmtId="0" fontId="6" fillId="0" borderId="31" xfId="0" applyFont="1" applyBorder="1" applyAlignment="1">
      <alignment horizontal="left"/>
    </xf>
    <xf numFmtId="2" fontId="6" fillId="0" borderId="11" xfId="0" applyNumberFormat="1" applyFont="1" applyBorder="1" applyAlignment="1">
      <alignment wrapText="1"/>
    </xf>
    <xf numFmtId="0" fontId="5" fillId="0" borderId="31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 quotePrefix="1">
      <alignment horizontal="left"/>
    </xf>
    <xf numFmtId="2" fontId="5" fillId="0" borderId="10" xfId="0" applyNumberFormat="1" applyFont="1" applyBorder="1" applyAlignment="1" quotePrefix="1">
      <alignment horizontal="right"/>
    </xf>
    <xf numFmtId="0" fontId="5" fillId="0" borderId="42" xfId="0" applyFont="1" applyBorder="1" applyAlignment="1">
      <alignment/>
    </xf>
    <xf numFmtId="10" fontId="5" fillId="0" borderId="42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72" fillId="0" borderId="27" xfId="0" applyFont="1" applyBorder="1" applyAlignment="1">
      <alignment/>
    </xf>
    <xf numFmtId="2" fontId="72" fillId="0" borderId="27" xfId="0" applyNumberFormat="1" applyFont="1" applyBorder="1" applyAlignment="1">
      <alignment/>
    </xf>
    <xf numFmtId="2" fontId="72" fillId="0" borderId="0" xfId="0" applyNumberFormat="1" applyFont="1" applyBorder="1" applyAlignment="1">
      <alignment/>
    </xf>
    <xf numFmtId="0" fontId="72" fillId="0" borderId="11" xfId="0" applyFont="1" applyBorder="1" applyAlignment="1">
      <alignment/>
    </xf>
    <xf numFmtId="2" fontId="72" fillId="0" borderId="11" xfId="0" applyNumberFormat="1" applyFont="1" applyBorder="1" applyAlignment="1">
      <alignment/>
    </xf>
    <xf numFmtId="0" fontId="72" fillId="0" borderId="0" xfId="0" applyFont="1" applyAlignment="1" quotePrefix="1">
      <alignment horizontal="centerContinuous"/>
    </xf>
    <xf numFmtId="0" fontId="72" fillId="0" borderId="0" xfId="0" applyFont="1" applyAlignment="1">
      <alignment horizontal="centerContinuous"/>
    </xf>
    <xf numFmtId="2" fontId="72" fillId="0" borderId="0" xfId="0" applyNumberFormat="1" applyFont="1" applyAlignment="1">
      <alignment/>
    </xf>
    <xf numFmtId="2" fontId="72" fillId="0" borderId="0" xfId="0" applyNumberFormat="1" applyFont="1" applyAlignment="1">
      <alignment horizontal="right"/>
    </xf>
    <xf numFmtId="0" fontId="72" fillId="0" borderId="27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31" xfId="0" applyFont="1" applyBorder="1" applyAlignment="1">
      <alignment horizontal="center"/>
    </xf>
    <xf numFmtId="0" fontId="72" fillId="0" borderId="31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0" fontId="72" fillId="0" borderId="33" xfId="0" applyFont="1" applyBorder="1" applyAlignment="1">
      <alignment horizontal="centerContinuous"/>
    </xf>
    <xf numFmtId="0" fontId="72" fillId="0" borderId="34" xfId="0" applyFont="1" applyBorder="1" applyAlignment="1">
      <alignment horizontal="centerContinuous"/>
    </xf>
    <xf numFmtId="0" fontId="72" fillId="0" borderId="42" xfId="0" applyFont="1" applyBorder="1" applyAlignment="1">
      <alignment/>
    </xf>
    <xf numFmtId="9" fontId="72" fillId="0" borderId="0" xfId="59" applyNumberFormat="1" applyFont="1" applyBorder="1" applyAlignment="1">
      <alignment/>
    </xf>
    <xf numFmtId="0" fontId="75" fillId="0" borderId="0" xfId="0" applyFont="1" applyBorder="1" applyAlignment="1" quotePrefix="1">
      <alignment horizontal="left"/>
    </xf>
    <xf numFmtId="0" fontId="75" fillId="0" borderId="0" xfId="0" applyFont="1" applyBorder="1" applyAlignment="1">
      <alignment/>
    </xf>
    <xf numFmtId="9" fontId="72" fillId="0" borderId="0" xfId="0" applyNumberFormat="1" applyFont="1" applyAlignment="1">
      <alignment/>
    </xf>
    <xf numFmtId="0" fontId="72" fillId="0" borderId="0" xfId="0" applyFont="1" applyBorder="1" applyAlignment="1" quotePrefix="1">
      <alignment horizontal="right"/>
    </xf>
    <xf numFmtId="0" fontId="76" fillId="0" borderId="0" xfId="0" applyFont="1" applyBorder="1" applyAlignment="1">
      <alignment/>
    </xf>
    <xf numFmtId="2" fontId="72" fillId="0" borderId="40" xfId="0" applyNumberFormat="1" applyFont="1" applyBorder="1" applyAlignment="1">
      <alignment/>
    </xf>
    <xf numFmtId="10" fontId="72" fillId="0" borderId="0" xfId="59" applyNumberFormat="1" applyFont="1" applyBorder="1" applyAlignment="1">
      <alignment/>
    </xf>
    <xf numFmtId="0" fontId="72" fillId="0" borderId="0" xfId="0" applyFont="1" applyBorder="1" applyAlignment="1">
      <alignment horizontal="right"/>
    </xf>
    <xf numFmtId="9" fontId="72" fillId="0" borderId="0" xfId="59" applyFont="1" applyAlignment="1">
      <alignment/>
    </xf>
    <xf numFmtId="2" fontId="72" fillId="0" borderId="31" xfId="0" applyNumberFormat="1" applyFont="1" applyBorder="1" applyAlignment="1">
      <alignment/>
    </xf>
    <xf numFmtId="0" fontId="75" fillId="0" borderId="0" xfId="0" applyFont="1" applyBorder="1" applyAlignment="1">
      <alignment horizontal="left"/>
    </xf>
    <xf numFmtId="0" fontId="77" fillId="0" borderId="0" xfId="0" applyFont="1" applyAlignment="1">
      <alignment/>
    </xf>
    <xf numFmtId="0" fontId="72" fillId="0" borderId="34" xfId="0" applyFont="1" applyBorder="1" applyAlignment="1">
      <alignment/>
    </xf>
    <xf numFmtId="10" fontId="72" fillId="0" borderId="0" xfId="0" applyNumberFormat="1" applyFont="1" applyAlignment="1">
      <alignment/>
    </xf>
    <xf numFmtId="0" fontId="74" fillId="0" borderId="0" xfId="0" applyFont="1" applyBorder="1" applyAlignment="1">
      <alignment horizontal="centerContinuous"/>
    </xf>
    <xf numFmtId="0" fontId="72" fillId="0" borderId="0" xfId="0" applyFont="1" applyAlignment="1" quotePrefix="1">
      <alignment horizontal="left"/>
    </xf>
    <xf numFmtId="1" fontId="72" fillId="0" borderId="0" xfId="0" applyNumberFormat="1" applyFont="1" applyAlignment="1">
      <alignment/>
    </xf>
    <xf numFmtId="167" fontId="72" fillId="0" borderId="0" xfId="0" applyNumberFormat="1" applyFont="1" applyAlignment="1">
      <alignment/>
    </xf>
    <xf numFmtId="0" fontId="78" fillId="0" borderId="0" xfId="0" applyFont="1" applyAlignment="1">
      <alignment/>
    </xf>
    <xf numFmtId="2" fontId="78" fillId="0" borderId="0" xfId="0" applyNumberFormat="1" applyFont="1" applyAlignment="1">
      <alignment/>
    </xf>
    <xf numFmtId="10" fontId="78" fillId="0" borderId="0" xfId="0" applyNumberFormat="1" applyFont="1" applyAlignment="1">
      <alignment/>
    </xf>
    <xf numFmtId="0" fontId="73" fillId="0" borderId="0" xfId="0" applyFont="1" applyAlignment="1">
      <alignment horizontal="centerContinuous"/>
    </xf>
    <xf numFmtId="9" fontId="73" fillId="0" borderId="0" xfId="59" applyFont="1" applyAlignment="1">
      <alignment/>
    </xf>
    <xf numFmtId="2" fontId="73" fillId="0" borderId="30" xfId="0" applyNumberFormat="1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31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Border="1" applyAlignment="1">
      <alignment/>
    </xf>
    <xf numFmtId="10" fontId="78" fillId="0" borderId="10" xfId="59" applyNumberFormat="1" applyFont="1" applyBorder="1" applyAlignment="1">
      <alignment/>
    </xf>
    <xf numFmtId="0" fontId="78" fillId="0" borderId="33" xfId="0" applyFont="1" applyBorder="1" applyAlignment="1">
      <alignment/>
    </xf>
    <xf numFmtId="0" fontId="12" fillId="0" borderId="11" xfId="0" applyFont="1" applyBorder="1" applyAlignment="1" quotePrefix="1">
      <alignment horizontal="left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31" xfId="0" applyFont="1" applyBorder="1" applyAlignment="1">
      <alignment/>
    </xf>
    <xf numFmtId="0" fontId="2" fillId="0" borderId="31" xfId="0" applyFont="1" applyBorder="1" applyAlignment="1" quotePrefix="1">
      <alignment horizontal="right"/>
    </xf>
    <xf numFmtId="2" fontId="2" fillId="0" borderId="35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75" fontId="2" fillId="0" borderId="11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0" fontId="2" fillId="0" borderId="11" xfId="0" applyFont="1" applyBorder="1" applyAlignment="1" quotePrefix="1">
      <alignment horizontal="right"/>
    </xf>
    <xf numFmtId="0" fontId="2" fillId="0" borderId="0" xfId="0" applyFont="1" applyAlignment="1">
      <alignment horizontal="right"/>
    </xf>
    <xf numFmtId="14" fontId="2" fillId="0" borderId="27" xfId="0" applyNumberFormat="1" applyFont="1" applyBorder="1" applyAlignment="1" quotePrefix="1">
      <alignment horizontal="left"/>
    </xf>
    <xf numFmtId="0" fontId="2" fillId="0" borderId="40" xfId="0" applyFont="1" applyBorder="1" applyAlignment="1">
      <alignment/>
    </xf>
    <xf numFmtId="9" fontId="2" fillId="0" borderId="3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3" fillId="0" borderId="11" xfId="0" applyFont="1" applyBorder="1" applyAlignment="1" quotePrefix="1">
      <alignment horizontal="right"/>
    </xf>
    <xf numFmtId="0" fontId="2" fillId="0" borderId="31" xfId="0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2" fontId="2" fillId="0" borderId="31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9" fontId="2" fillId="0" borderId="11" xfId="59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0" fontId="2" fillId="0" borderId="11" xfId="59" applyNumberFormat="1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34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27" xfId="0" applyFont="1" applyBorder="1" applyAlignment="1">
      <alignment/>
    </xf>
    <xf numFmtId="0" fontId="17" fillId="0" borderId="27" xfId="0" applyFont="1" applyBorder="1" applyAlignment="1" quotePrefix="1">
      <alignment horizontal="left"/>
    </xf>
    <xf numFmtId="0" fontId="17" fillId="0" borderId="31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/>
    </xf>
    <xf numFmtId="9" fontId="17" fillId="0" borderId="3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2" fontId="17" fillId="0" borderId="11" xfId="0" applyNumberFormat="1" applyFont="1" applyBorder="1" applyAlignment="1">
      <alignment/>
    </xf>
    <xf numFmtId="0" fontId="17" fillId="0" borderId="11" xfId="0" applyFont="1" applyBorder="1" applyAlignment="1" quotePrefix="1">
      <alignment horizontal="left"/>
    </xf>
    <xf numFmtId="0" fontId="17" fillId="0" borderId="11" xfId="0" applyFont="1" applyBorder="1" applyAlignment="1" quotePrefix="1">
      <alignment horizontal="right"/>
    </xf>
    <xf numFmtId="2" fontId="17" fillId="0" borderId="40" xfId="0" applyNumberFormat="1" applyFont="1" applyBorder="1" applyAlignment="1">
      <alignment/>
    </xf>
    <xf numFmtId="175" fontId="17" fillId="0" borderId="11" xfId="0" applyNumberFormat="1" applyFont="1" applyBorder="1" applyAlignment="1">
      <alignment/>
    </xf>
    <xf numFmtId="0" fontId="17" fillId="0" borderId="31" xfId="0" applyFont="1" applyBorder="1" applyAlignment="1" quotePrefix="1">
      <alignment horizontal="left"/>
    </xf>
    <xf numFmtId="0" fontId="17" fillId="0" borderId="11" xfId="0" applyFont="1" applyBorder="1" applyAlignment="1">
      <alignment horizontal="right"/>
    </xf>
    <xf numFmtId="2" fontId="17" fillId="0" borderId="35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 quotePrefix="1">
      <alignment horizontal="right"/>
    </xf>
    <xf numFmtId="0" fontId="17" fillId="0" borderId="11" xfId="0" applyFont="1" applyBorder="1" applyAlignment="1">
      <alignment horizontal="left"/>
    </xf>
    <xf numFmtId="173" fontId="2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47" xfId="0" applyFont="1" applyBorder="1" applyAlignment="1">
      <alignment/>
    </xf>
    <xf numFmtId="10" fontId="6" fillId="0" borderId="10" xfId="0" applyNumberFormat="1" applyFont="1" applyBorder="1" applyAlignment="1">
      <alignment/>
    </xf>
    <xf numFmtId="10" fontId="6" fillId="0" borderId="10" xfId="59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0" fontId="6" fillId="0" borderId="0" xfId="59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6" fillId="0" borderId="47" xfId="0" applyFont="1" applyBorder="1" applyAlignment="1">
      <alignment horizontal="center"/>
    </xf>
    <xf numFmtId="10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Continuous"/>
    </xf>
    <xf numFmtId="10" fontId="6" fillId="0" borderId="0" xfId="59" applyNumberFormat="1" applyFont="1" applyAlignment="1">
      <alignment/>
    </xf>
    <xf numFmtId="9" fontId="6" fillId="0" borderId="0" xfId="59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9" fontId="21" fillId="0" borderId="0" xfId="59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71" fontId="6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9" fontId="6" fillId="0" borderId="27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9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0" fontId="6" fillId="0" borderId="30" xfId="0" applyFont="1" applyBorder="1" applyAlignment="1">
      <alignment horizontal="centerContinuous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6" fillId="0" borderId="30" xfId="0" applyFont="1" applyBorder="1" applyAlignment="1" quotePrefix="1">
      <alignment horizontal="center"/>
    </xf>
    <xf numFmtId="2" fontId="5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41" xfId="0" applyFont="1" applyBorder="1" applyAlignment="1">
      <alignment/>
    </xf>
    <xf numFmtId="0" fontId="6" fillId="0" borderId="43" xfId="0" applyFont="1" applyBorder="1" applyAlignment="1">
      <alignment/>
    </xf>
    <xf numFmtId="9" fontId="6" fillId="0" borderId="31" xfId="0" applyNumberFormat="1" applyFont="1" applyBorder="1" applyAlignment="1" quotePrefix="1">
      <alignment horizontal="right"/>
    </xf>
    <xf numFmtId="2" fontId="6" fillId="0" borderId="48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9" fontId="6" fillId="0" borderId="2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3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2" fontId="6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9" fontId="7" fillId="0" borderId="0" xfId="59" applyFont="1" applyBorder="1" applyAlignment="1">
      <alignment horizontal="center"/>
    </xf>
    <xf numFmtId="2" fontId="20" fillId="0" borderId="0" xfId="0" applyNumberFormat="1" applyFont="1" applyBorder="1" applyAlignment="1">
      <alignment horizontal="right"/>
    </xf>
    <xf numFmtId="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centerContinuous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2" fontId="21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1" fillId="0" borderId="3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71" fontId="6" fillId="0" borderId="11" xfId="42" applyFont="1" applyBorder="1" applyAlignment="1" quotePrefix="1">
      <alignment horizontal="left"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2" fillId="0" borderId="3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 quotePrefix="1">
      <alignment horizontal="left"/>
    </xf>
    <xf numFmtId="0" fontId="14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0" fontId="29" fillId="0" borderId="40" xfId="0" applyFont="1" applyBorder="1" applyAlignment="1">
      <alignment horizontal="center"/>
    </xf>
    <xf numFmtId="2" fontId="17" fillId="0" borderId="27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0" fontId="18" fillId="0" borderId="11" xfId="0" applyFont="1" applyBorder="1" applyAlignment="1">
      <alignment horizontal="center"/>
    </xf>
    <xf numFmtId="9" fontId="17" fillId="0" borderId="11" xfId="59" applyNumberFormat="1" applyFont="1" applyBorder="1" applyAlignment="1">
      <alignment/>
    </xf>
    <xf numFmtId="9" fontId="17" fillId="0" borderId="0" xfId="59" applyNumberFormat="1" applyFont="1" applyBorder="1" applyAlignment="1">
      <alignment/>
    </xf>
    <xf numFmtId="9" fontId="17" fillId="0" borderId="0" xfId="0" applyNumberFormat="1" applyFont="1" applyAlignment="1">
      <alignment/>
    </xf>
    <xf numFmtId="10" fontId="17" fillId="0" borderId="11" xfId="59" applyNumberFormat="1" applyFont="1" applyBorder="1" applyAlignment="1">
      <alignment/>
    </xf>
    <xf numFmtId="10" fontId="17" fillId="0" borderId="0" xfId="59" applyNumberFormat="1" applyFont="1" applyBorder="1" applyAlignment="1">
      <alignment/>
    </xf>
    <xf numFmtId="9" fontId="17" fillId="0" borderId="0" xfId="59" applyFont="1" applyAlignment="1">
      <alignment/>
    </xf>
    <xf numFmtId="2" fontId="17" fillId="0" borderId="31" xfId="0" applyNumberFormat="1" applyFont="1" applyBorder="1" applyAlignment="1">
      <alignment/>
    </xf>
    <xf numFmtId="0" fontId="18" fillId="0" borderId="0" xfId="0" applyFont="1" applyAlignment="1">
      <alignment/>
    </xf>
    <xf numFmtId="0" fontId="30" fillId="0" borderId="11" xfId="0" applyFont="1" applyBorder="1" applyAlignment="1">
      <alignment/>
    </xf>
    <xf numFmtId="0" fontId="17" fillId="0" borderId="10" xfId="0" applyFont="1" applyBorder="1" applyAlignment="1">
      <alignment/>
    </xf>
    <xf numFmtId="10" fontId="17" fillId="0" borderId="0" xfId="0" applyNumberFormat="1" applyFont="1" applyAlignment="1">
      <alignment/>
    </xf>
    <xf numFmtId="0" fontId="17" fillId="0" borderId="31" xfId="0" applyFont="1" applyBorder="1" applyAlignment="1" quotePrefix="1">
      <alignment horizontal="right"/>
    </xf>
    <xf numFmtId="2" fontId="17" fillId="0" borderId="39" xfId="0" applyNumberFormat="1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47" xfId="0" applyFont="1" applyBorder="1" applyAlignment="1">
      <alignment/>
    </xf>
    <xf numFmtId="2" fontId="17" fillId="0" borderId="10" xfId="0" applyNumberFormat="1" applyFont="1" applyBorder="1" applyAlignment="1">
      <alignment/>
    </xf>
    <xf numFmtId="10" fontId="17" fillId="0" borderId="10" xfId="0" applyNumberFormat="1" applyFont="1" applyBorder="1" applyAlignment="1">
      <alignment/>
    </xf>
    <xf numFmtId="10" fontId="17" fillId="0" borderId="10" xfId="59" applyNumberFormat="1" applyFont="1" applyBorder="1" applyAlignment="1">
      <alignment/>
    </xf>
    <xf numFmtId="167" fontId="17" fillId="0" borderId="0" xfId="0" applyNumberFormat="1" applyFont="1" applyAlignment="1">
      <alignment/>
    </xf>
    <xf numFmtId="171" fontId="6" fillId="0" borderId="0" xfId="42" applyFont="1" applyAlignment="1">
      <alignment/>
    </xf>
    <xf numFmtId="0" fontId="79" fillId="0" borderId="0" xfId="0" applyFont="1" applyAlignment="1">
      <alignment/>
    </xf>
    <xf numFmtId="171" fontId="79" fillId="0" borderId="0" xfId="42" applyFont="1" applyAlignment="1">
      <alignment/>
    </xf>
    <xf numFmtId="0" fontId="6" fillId="0" borderId="49" xfId="0" applyFont="1" applyBorder="1" applyAlignment="1">
      <alignment/>
    </xf>
    <xf numFmtId="2" fontId="6" fillId="0" borderId="5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51" xfId="0" applyFont="1" applyBorder="1" applyAlignment="1" quotePrefix="1">
      <alignment horizontal="right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47" xfId="0" applyFont="1" applyFill="1" applyBorder="1" applyAlignment="1" quotePrefix="1">
      <alignment horizontal="left"/>
    </xf>
    <xf numFmtId="0" fontId="6" fillId="35" borderId="54" xfId="0" applyFont="1" applyFill="1" applyBorder="1" applyAlignment="1">
      <alignment/>
    </xf>
    <xf numFmtId="10" fontId="6" fillId="0" borderId="30" xfId="59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3" borderId="40" xfId="0" applyNumberFormat="1" applyFont="1" applyFill="1" applyBorder="1" applyAlignment="1">
      <alignment/>
    </xf>
    <xf numFmtId="171" fontId="6" fillId="33" borderId="11" xfId="42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6" fillId="33" borderId="11" xfId="0" applyFont="1" applyFill="1" applyBorder="1" applyAlignment="1" quotePrefix="1">
      <alignment horizontal="left"/>
    </xf>
    <xf numFmtId="2" fontId="6" fillId="33" borderId="3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179" fontId="6" fillId="0" borderId="0" xfId="0" applyNumberFormat="1" applyFont="1" applyBorder="1" applyAlignment="1">
      <alignment/>
    </xf>
    <xf numFmtId="0" fontId="6" fillId="0" borderId="11" xfId="0" applyFont="1" applyBorder="1" applyAlignment="1" quotePrefix="1">
      <alignment/>
    </xf>
    <xf numFmtId="0" fontId="6" fillId="34" borderId="3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55" xfId="0" applyFont="1" applyFill="1" applyBorder="1" applyAlignment="1">
      <alignment/>
    </xf>
    <xf numFmtId="0" fontId="5" fillId="34" borderId="55" xfId="0" applyFont="1" applyFill="1" applyBorder="1" applyAlignment="1">
      <alignment horizontal="center"/>
    </xf>
    <xf numFmtId="0" fontId="6" fillId="16" borderId="56" xfId="0" applyFont="1" applyFill="1" applyBorder="1" applyAlignment="1">
      <alignment/>
    </xf>
    <xf numFmtId="0" fontId="6" fillId="16" borderId="36" xfId="0" applyFont="1" applyFill="1" applyBorder="1" applyAlignment="1">
      <alignment/>
    </xf>
    <xf numFmtId="0" fontId="6" fillId="16" borderId="36" xfId="0" applyFont="1" applyFill="1" applyBorder="1" applyAlignment="1" quotePrefix="1">
      <alignment horizontal="right"/>
    </xf>
    <xf numFmtId="2" fontId="7" fillId="16" borderId="57" xfId="0" applyNumberFormat="1" applyFont="1" applyFill="1" applyBorder="1" applyAlignment="1">
      <alignment horizontal="center"/>
    </xf>
    <xf numFmtId="0" fontId="6" fillId="16" borderId="37" xfId="0" applyFont="1" applyFill="1" applyBorder="1" applyAlignment="1">
      <alignment/>
    </xf>
    <xf numFmtId="2" fontId="7" fillId="16" borderId="58" xfId="0" applyNumberFormat="1" applyFont="1" applyFill="1" applyBorder="1" applyAlignment="1">
      <alignment horizontal="center"/>
    </xf>
    <xf numFmtId="0" fontId="6" fillId="16" borderId="38" xfId="0" applyFont="1" applyFill="1" applyBorder="1" applyAlignment="1">
      <alignment/>
    </xf>
    <xf numFmtId="0" fontId="5" fillId="16" borderId="57" xfId="0" applyFont="1" applyFill="1" applyBorder="1" applyAlignment="1">
      <alignment horizontal="center"/>
    </xf>
    <xf numFmtId="0" fontId="5" fillId="16" borderId="58" xfId="0" applyFont="1" applyFill="1" applyBorder="1" applyAlignment="1">
      <alignment horizontal="center"/>
    </xf>
    <xf numFmtId="2" fontId="6" fillId="16" borderId="59" xfId="0" applyNumberFormat="1" applyFont="1" applyFill="1" applyBorder="1" applyAlignment="1">
      <alignment/>
    </xf>
    <xf numFmtId="2" fontId="6" fillId="16" borderId="35" xfId="0" applyNumberFormat="1" applyFont="1" applyFill="1" applyBorder="1" applyAlignment="1">
      <alignment/>
    </xf>
    <xf numFmtId="0" fontId="6" fillId="16" borderId="27" xfId="0" applyFont="1" applyFill="1" applyBorder="1" applyAlignment="1">
      <alignment/>
    </xf>
    <xf numFmtId="0" fontId="6" fillId="16" borderId="31" xfId="0" applyFont="1" applyFill="1" applyBorder="1" applyAlignment="1">
      <alignment/>
    </xf>
    <xf numFmtId="0" fontId="6" fillId="16" borderId="31" xfId="0" applyFont="1" applyFill="1" applyBorder="1" applyAlignment="1" quotePrefix="1">
      <alignment horizontal="center"/>
    </xf>
    <xf numFmtId="171" fontId="6" fillId="16" borderId="35" xfId="42" applyFont="1" applyFill="1" applyBorder="1" applyAlignment="1">
      <alignment/>
    </xf>
    <xf numFmtId="0" fontId="6" fillId="16" borderId="27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0" fontId="6" fillId="16" borderId="11" xfId="0" applyFont="1" applyFill="1" applyBorder="1" applyAlignment="1">
      <alignment horizontal="center"/>
    </xf>
    <xf numFmtId="0" fontId="6" fillId="16" borderId="31" xfId="0" applyFont="1" applyFill="1" applyBorder="1" applyAlignment="1">
      <alignment horizontal="center"/>
    </xf>
    <xf numFmtId="0" fontId="6" fillId="16" borderId="31" xfId="0" applyFont="1" applyFill="1" applyBorder="1" applyAlignment="1">
      <alignment horizontal="left"/>
    </xf>
    <xf numFmtId="2" fontId="6" fillId="16" borderId="31" xfId="0" applyNumberFormat="1" applyFont="1" applyFill="1" applyBorder="1" applyAlignment="1">
      <alignment/>
    </xf>
    <xf numFmtId="9" fontId="6" fillId="16" borderId="31" xfId="0" applyNumberFormat="1" applyFont="1" applyFill="1" applyBorder="1" applyAlignment="1">
      <alignment/>
    </xf>
    <xf numFmtId="2" fontId="6" fillId="16" borderId="46" xfId="0" applyNumberFormat="1" applyFont="1" applyFill="1" applyBorder="1" applyAlignment="1">
      <alignment/>
    </xf>
    <xf numFmtId="0" fontId="6" fillId="16" borderId="27" xfId="0" applyFont="1" applyFill="1" applyBorder="1" applyAlignment="1" quotePrefix="1">
      <alignment horizontal="left"/>
    </xf>
    <xf numFmtId="0" fontId="6" fillId="16" borderId="40" xfId="0" applyFont="1" applyFill="1" applyBorder="1" applyAlignment="1">
      <alignment/>
    </xf>
    <xf numFmtId="2" fontId="6" fillId="16" borderId="11" xfId="0" applyNumberFormat="1" applyFont="1" applyFill="1" applyBorder="1" applyAlignment="1">
      <alignment/>
    </xf>
    <xf numFmtId="0" fontId="6" fillId="16" borderId="11" xfId="0" applyFont="1" applyFill="1" applyBorder="1" applyAlignment="1" quotePrefix="1">
      <alignment horizontal="right"/>
    </xf>
    <xf numFmtId="0" fontId="6" fillId="16" borderId="31" xfId="0" applyFont="1" applyFill="1" applyBorder="1" applyAlignment="1" quotePrefix="1">
      <alignment horizontal="right"/>
    </xf>
    <xf numFmtId="0" fontId="6" fillId="16" borderId="31" xfId="0" applyFont="1" applyFill="1" applyBorder="1" applyAlignment="1" quotePrefix="1">
      <alignment horizontal="left"/>
    </xf>
    <xf numFmtId="2" fontId="6" fillId="16" borderId="40" xfId="0" applyNumberFormat="1" applyFont="1" applyFill="1" applyBorder="1" applyAlignment="1">
      <alignment/>
    </xf>
    <xf numFmtId="0" fontId="6" fillId="16" borderId="40" xfId="0" applyFont="1" applyFill="1" applyBorder="1" applyAlignment="1">
      <alignment horizontal="center"/>
    </xf>
    <xf numFmtId="0" fontId="6" fillId="16" borderId="27" xfId="0" applyFont="1" applyFill="1" applyBorder="1" applyAlignment="1" quotePrefix="1">
      <alignment horizontal="center"/>
    </xf>
    <xf numFmtId="0" fontId="6" fillId="16" borderId="27" xfId="0" applyFont="1" applyFill="1" applyBorder="1" applyAlignment="1">
      <alignment horizontal="left"/>
    </xf>
    <xf numFmtId="0" fontId="6" fillId="16" borderId="11" xfId="0" applyFont="1" applyFill="1" applyBorder="1" applyAlignment="1">
      <alignment horizontal="left"/>
    </xf>
    <xf numFmtId="0" fontId="6" fillId="16" borderId="29" xfId="0" applyFont="1" applyFill="1" applyBorder="1" applyAlignment="1">
      <alignment horizontal="center"/>
    </xf>
    <xf numFmtId="0" fontId="6" fillId="16" borderId="33" xfId="0" applyFont="1" applyFill="1" applyBorder="1" applyAlignment="1">
      <alignment horizontal="center"/>
    </xf>
    <xf numFmtId="0" fontId="6" fillId="16" borderId="28" xfId="0" applyFont="1" applyFill="1" applyBorder="1" applyAlignment="1">
      <alignment/>
    </xf>
    <xf numFmtId="0" fontId="6" fillId="16" borderId="42" xfId="0" applyFont="1" applyFill="1" applyBorder="1" applyAlignment="1">
      <alignment/>
    </xf>
    <xf numFmtId="0" fontId="6" fillId="16" borderId="3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32" xfId="0" applyFont="1" applyFill="1" applyBorder="1" applyAlignment="1">
      <alignment horizontal="centerContinuous"/>
    </xf>
    <xf numFmtId="0" fontId="6" fillId="16" borderId="34" xfId="0" applyFont="1" applyFill="1" applyBorder="1" applyAlignment="1">
      <alignment horizontal="centerContinuous"/>
    </xf>
    <xf numFmtId="10" fontId="6" fillId="16" borderId="31" xfId="59" applyNumberFormat="1" applyFont="1" applyFill="1" applyBorder="1" applyAlignment="1">
      <alignment horizontal="center"/>
    </xf>
    <xf numFmtId="0" fontId="6" fillId="16" borderId="32" xfId="0" applyFont="1" applyFill="1" applyBorder="1" applyAlignment="1">
      <alignment/>
    </xf>
    <xf numFmtId="0" fontId="6" fillId="16" borderId="33" xfId="0" applyNumberFormat="1" applyFont="1" applyFill="1" applyBorder="1" applyAlignment="1">
      <alignment horizontal="left"/>
    </xf>
    <xf numFmtId="0" fontId="5" fillId="16" borderId="31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/>
    </xf>
    <xf numFmtId="0" fontId="20" fillId="0" borderId="0" xfId="0" applyFont="1" applyAlignment="1" quotePrefix="1">
      <alignment horizontal="center"/>
    </xf>
    <xf numFmtId="0" fontId="7" fillId="16" borderId="27" xfId="0" applyFont="1" applyFill="1" applyBorder="1" applyAlignment="1">
      <alignment/>
    </xf>
    <xf numFmtId="0" fontId="7" fillId="16" borderId="27" xfId="0" applyFont="1" applyFill="1" applyBorder="1" applyAlignment="1">
      <alignment horizontal="center"/>
    </xf>
    <xf numFmtId="0" fontId="7" fillId="16" borderId="27" xfId="0" applyFont="1" applyFill="1" applyBorder="1" applyAlignment="1">
      <alignment horizontal="right"/>
    </xf>
    <xf numFmtId="0" fontId="7" fillId="16" borderId="11" xfId="0" applyFont="1" applyFill="1" applyBorder="1" applyAlignment="1">
      <alignment/>
    </xf>
    <xf numFmtId="0" fontId="7" fillId="16" borderId="11" xfId="0" applyFont="1" applyFill="1" applyBorder="1" applyAlignment="1">
      <alignment horizontal="center"/>
    </xf>
    <xf numFmtId="0" fontId="7" fillId="16" borderId="44" xfId="0" applyFont="1" applyFill="1" applyBorder="1" applyAlignment="1">
      <alignment horizontal="center"/>
    </xf>
    <xf numFmtId="0" fontId="7" fillId="16" borderId="45" xfId="0" applyFont="1" applyFill="1" applyBorder="1" applyAlignment="1">
      <alignment horizontal="center"/>
    </xf>
    <xf numFmtId="0" fontId="7" fillId="16" borderId="41" xfId="0" applyFont="1" applyFill="1" applyBorder="1" applyAlignment="1">
      <alignment horizontal="center"/>
    </xf>
    <xf numFmtId="0" fontId="7" fillId="16" borderId="43" xfId="0" applyFont="1" applyFill="1" applyBorder="1" applyAlignment="1">
      <alignment horizontal="center"/>
    </xf>
    <xf numFmtId="0" fontId="7" fillId="16" borderId="31" xfId="0" applyFont="1" applyFill="1" applyBorder="1" applyAlignment="1">
      <alignment/>
    </xf>
    <xf numFmtId="0" fontId="7" fillId="16" borderId="31" xfId="0" applyFont="1" applyFill="1" applyBorder="1" applyAlignment="1">
      <alignment horizontal="center"/>
    </xf>
    <xf numFmtId="0" fontId="7" fillId="16" borderId="46" xfId="0" applyFont="1" applyFill="1" applyBorder="1" applyAlignment="1">
      <alignment horizontal="center"/>
    </xf>
    <xf numFmtId="0" fontId="7" fillId="16" borderId="48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2" fontId="6" fillId="34" borderId="40" xfId="0" applyNumberFormat="1" applyFont="1" applyFill="1" applyBorder="1" applyAlignment="1">
      <alignment/>
    </xf>
    <xf numFmtId="171" fontId="6" fillId="34" borderId="11" xfId="42" applyFont="1" applyFill="1" applyBorder="1" applyAlignment="1">
      <alignment/>
    </xf>
    <xf numFmtId="0" fontId="11" fillId="34" borderId="11" xfId="0" applyFont="1" applyFill="1" applyBorder="1" applyAlignment="1">
      <alignment/>
    </xf>
    <xf numFmtId="2" fontId="79" fillId="36" borderId="0" xfId="0" applyNumberFormat="1" applyFont="1" applyFill="1" applyAlignment="1">
      <alignment/>
    </xf>
    <xf numFmtId="0" fontId="6" fillId="36" borderId="49" xfId="0" applyFont="1" applyFill="1" applyBorder="1" applyAlignment="1">
      <alignment/>
    </xf>
    <xf numFmtId="0" fontId="6" fillId="36" borderId="30" xfId="0" applyFont="1" applyFill="1" applyBorder="1" applyAlignment="1">
      <alignment/>
    </xf>
    <xf numFmtId="0" fontId="6" fillId="36" borderId="0" xfId="0" applyFont="1" applyFill="1" applyBorder="1" applyAlignment="1" quotePrefix="1">
      <alignment horizontal="right"/>
    </xf>
    <xf numFmtId="0" fontId="6" fillId="36" borderId="10" xfId="0" applyFont="1" applyFill="1" applyBorder="1" applyAlignment="1" quotePrefix="1">
      <alignment horizontal="right"/>
    </xf>
    <xf numFmtId="2" fontId="79" fillId="36" borderId="11" xfId="0" applyNumberFormat="1" applyFont="1" applyFill="1" applyBorder="1" applyAlignment="1">
      <alignment/>
    </xf>
    <xf numFmtId="171" fontId="79" fillId="36" borderId="11" xfId="42" applyFont="1" applyFill="1" applyBorder="1" applyAlignment="1">
      <alignment/>
    </xf>
    <xf numFmtId="2" fontId="6" fillId="36" borderId="35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9" fontId="6" fillId="36" borderId="31" xfId="0" applyNumberFormat="1" applyFont="1" applyFill="1" applyBorder="1" applyAlignment="1">
      <alignment horizontal="center"/>
    </xf>
    <xf numFmtId="2" fontId="6" fillId="36" borderId="39" xfId="0" applyNumberFormat="1" applyFont="1" applyFill="1" applyBorder="1" applyAlignment="1">
      <alignment/>
    </xf>
    <xf numFmtId="2" fontId="6" fillId="36" borderId="40" xfId="0" applyNumberFormat="1" applyFont="1" applyFill="1" applyBorder="1" applyAlignment="1">
      <alignment/>
    </xf>
    <xf numFmtId="2" fontId="6" fillId="36" borderId="31" xfId="0" applyNumberFormat="1" applyFont="1" applyFill="1" applyBorder="1" applyAlignment="1">
      <alignment/>
    </xf>
    <xf numFmtId="2" fontId="6" fillId="36" borderId="50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16" borderId="52" xfId="0" applyFont="1" applyFill="1" applyBorder="1" applyAlignment="1" quotePrefix="1">
      <alignment horizontal="center"/>
    </xf>
    <xf numFmtId="0" fontId="0" fillId="16" borderId="16" xfId="0" applyFill="1" applyBorder="1" applyAlignment="1">
      <alignment/>
    </xf>
    <xf numFmtId="0" fontId="0" fillId="16" borderId="53" xfId="0" applyFill="1" applyBorder="1" applyAlignment="1">
      <alignment/>
    </xf>
    <xf numFmtId="0" fontId="25" fillId="16" borderId="60" xfId="0" applyFont="1" applyFill="1" applyBorder="1" applyAlignment="1">
      <alignment horizontal="center"/>
    </xf>
    <xf numFmtId="0" fontId="25" fillId="16" borderId="22" xfId="0" applyFont="1" applyFill="1" applyBorder="1" applyAlignment="1">
      <alignment horizontal="center"/>
    </xf>
    <xf numFmtId="0" fontId="25" fillId="16" borderId="61" xfId="0" applyFont="1" applyFill="1" applyBorder="1" applyAlignment="1">
      <alignment horizontal="center"/>
    </xf>
    <xf numFmtId="0" fontId="6" fillId="16" borderId="52" xfId="0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6" fillId="0" borderId="0" xfId="0" applyFont="1" applyBorder="1" applyAlignment="1" quotePrefix="1">
      <alignment horizontal="center"/>
    </xf>
    <xf numFmtId="0" fontId="2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6" borderId="0" xfId="0" applyFont="1" applyFill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2" fontId="5" fillId="16" borderId="62" xfId="0" applyNumberFormat="1" applyFont="1" applyFill="1" applyBorder="1" applyAlignment="1">
      <alignment horizontal="center"/>
    </xf>
    <xf numFmtId="2" fontId="5" fillId="16" borderId="63" xfId="0" applyNumberFormat="1" applyFont="1" applyFill="1" applyBorder="1" applyAlignment="1">
      <alignment horizontal="center"/>
    </xf>
    <xf numFmtId="2" fontId="5" fillId="16" borderId="64" xfId="0" applyNumberFormat="1" applyFont="1" applyFill="1" applyBorder="1" applyAlignment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4" fillId="0" borderId="0" xfId="0" applyFont="1" applyAlignment="1" quotePrefix="1">
      <alignment horizontal="center"/>
    </xf>
    <xf numFmtId="0" fontId="2" fillId="0" borderId="23" xfId="0" applyFont="1" applyBorder="1" applyAlignment="1">
      <alignment horizontal="justify" vertical="justify"/>
    </xf>
    <xf numFmtId="0" fontId="2" fillId="0" borderId="65" xfId="0" applyFont="1" applyBorder="1" applyAlignment="1">
      <alignment horizontal="justify" vertical="justify"/>
    </xf>
    <xf numFmtId="0" fontId="3" fillId="0" borderId="6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66" xfId="0" applyFont="1" applyBorder="1" applyAlignment="1">
      <alignment horizontal="justify" vertical="justify"/>
    </xf>
    <xf numFmtId="0" fontId="2" fillId="0" borderId="22" xfId="0" applyFont="1" applyBorder="1" applyAlignment="1">
      <alignment horizontal="justify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HJ7:HM43" comment="" totalsRowShown="0">
  <autoFilter ref="HJ7:HM43"/>
  <tableColumns count="4">
    <tableColumn id="1" name="Column"/>
    <tableColumn id="2" name="Column2"/>
    <tableColumn id="3" name="Column3"/>
    <tableColumn id="4" name="Column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89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9.140625" style="283" customWidth="1"/>
    <col min="2" max="3" width="5.7109375" style="283" customWidth="1"/>
    <col min="4" max="4" width="40.7109375" style="283" customWidth="1"/>
    <col min="5" max="5" width="13.140625" style="283" customWidth="1"/>
    <col min="6" max="6" width="15.7109375" style="283" bestFit="1" customWidth="1"/>
    <col min="7" max="7" width="10.28125" style="283" customWidth="1"/>
    <col min="8" max="8" width="5.8515625" style="283" customWidth="1"/>
    <col min="9" max="9" width="32.8515625" style="283" customWidth="1"/>
    <col min="10" max="14" width="12.7109375" style="283" customWidth="1"/>
    <col min="15" max="15" width="9.140625" style="283" customWidth="1"/>
    <col min="16" max="16" width="6.8515625" style="283" hidden="1" customWidth="1"/>
    <col min="17" max="17" width="24.00390625" style="283" customWidth="1"/>
    <col min="18" max="18" width="9.00390625" style="283" customWidth="1"/>
    <col min="19" max="19" width="9.28125" style="283" customWidth="1"/>
    <col min="20" max="20" width="8.7109375" style="283" customWidth="1"/>
    <col min="21" max="21" width="10.7109375" style="283" customWidth="1"/>
    <col min="22" max="23" width="8.7109375" style="283" customWidth="1"/>
    <col min="24" max="24" width="10.57421875" style="283" customWidth="1"/>
    <col min="25" max="26" width="8.7109375" style="283" customWidth="1"/>
    <col min="27" max="27" width="10.421875" style="283" customWidth="1"/>
    <col min="28" max="28" width="8.7109375" style="283" customWidth="1"/>
    <col min="29" max="29" width="9.140625" style="283" customWidth="1"/>
    <col min="30" max="30" width="15.140625" style="283" bestFit="1" customWidth="1"/>
    <col min="31" max="31" width="4.8515625" style="283" customWidth="1"/>
    <col min="32" max="32" width="35.8515625" style="283" customWidth="1"/>
    <col min="33" max="35" width="14.7109375" style="283" customWidth="1"/>
    <col min="36" max="37" width="9.140625" style="283" customWidth="1"/>
    <col min="38" max="38" width="4.57421875" style="283" customWidth="1"/>
    <col min="39" max="39" width="32.140625" style="283" customWidth="1"/>
    <col min="40" max="47" width="10.7109375" style="283" customWidth="1"/>
    <col min="48" max="48" width="9.140625" style="283" customWidth="1"/>
    <col min="49" max="49" width="4.7109375" style="283" customWidth="1"/>
    <col min="50" max="50" width="33.7109375" style="283" customWidth="1"/>
    <col min="51" max="58" width="10.7109375" style="283" customWidth="1"/>
    <col min="59" max="59" width="12.7109375" style="283" customWidth="1"/>
    <col min="60" max="60" width="9.140625" style="283" customWidth="1"/>
    <col min="61" max="61" width="5.57421875" style="283" customWidth="1"/>
    <col min="62" max="62" width="37.8515625" style="283" customWidth="1"/>
    <col min="63" max="63" width="8.7109375" style="283" customWidth="1"/>
    <col min="64" max="66" width="14.7109375" style="283" customWidth="1"/>
    <col min="67" max="67" width="10.7109375" style="283" customWidth="1"/>
    <col min="68" max="68" width="9.140625" style="283" customWidth="1"/>
    <col min="69" max="69" width="5.57421875" style="283" customWidth="1"/>
    <col min="70" max="70" width="25.7109375" style="283" customWidth="1"/>
    <col min="71" max="71" width="14.140625" style="283" hidden="1" customWidth="1"/>
    <col min="72" max="79" width="11.7109375" style="283" customWidth="1"/>
    <col min="80" max="80" width="12.7109375" style="283" customWidth="1"/>
    <col min="81" max="81" width="9.140625" style="283" customWidth="1"/>
    <col min="82" max="82" width="6.140625" style="283" customWidth="1"/>
    <col min="83" max="83" width="33.140625" style="283" customWidth="1"/>
    <col min="84" max="84" width="10.7109375" style="283" hidden="1" customWidth="1"/>
    <col min="85" max="92" width="10.7109375" style="283" customWidth="1"/>
    <col min="93" max="93" width="12.7109375" style="283" customWidth="1"/>
    <col min="94" max="95" width="9.140625" style="283" customWidth="1"/>
    <col min="96" max="96" width="6.28125" style="283" customWidth="1"/>
    <col min="97" max="97" width="20.421875" style="283" customWidth="1"/>
    <col min="98" max="100" width="14.7109375" style="283" customWidth="1"/>
    <col min="101" max="101" width="9.140625" style="283" customWidth="1"/>
    <col min="102" max="102" width="6.8515625" style="283" customWidth="1"/>
    <col min="103" max="103" width="29.8515625" style="283" customWidth="1"/>
    <col min="104" max="112" width="12.7109375" style="283" customWidth="1"/>
    <col min="113" max="114" width="9.140625" style="283" customWidth="1"/>
    <col min="115" max="115" width="13.7109375" style="283" customWidth="1"/>
    <col min="116" max="116" width="9.140625" style="283" customWidth="1"/>
    <col min="117" max="120" width="12.7109375" style="283" customWidth="1"/>
    <col min="121" max="122" width="9.140625" style="283" customWidth="1"/>
    <col min="123" max="124" width="12.7109375" style="283" customWidth="1"/>
    <col min="125" max="128" width="14.7109375" style="283" customWidth="1"/>
    <col min="129" max="129" width="12.7109375" style="283" customWidth="1"/>
    <col min="130" max="144" width="12.7109375" style="283" hidden="1" customWidth="1"/>
    <col min="145" max="145" width="12.7109375" style="283" customWidth="1"/>
    <col min="146" max="146" width="25.7109375" style="283" customWidth="1"/>
    <col min="147" max="157" width="12.7109375" style="283" customWidth="1"/>
    <col min="158" max="216" width="12.7109375" style="283" hidden="1" customWidth="1"/>
    <col min="217" max="217" width="12.7109375" style="283" customWidth="1"/>
    <col min="218" max="218" width="11.8515625" style="283" customWidth="1"/>
    <col min="219" max="219" width="42.57421875" style="283" customWidth="1"/>
    <col min="220" max="220" width="12.28125" style="283" customWidth="1"/>
    <col min="221" max="221" width="13.00390625" style="283" customWidth="1"/>
    <col min="222" max="223" width="9.140625" style="283" customWidth="1"/>
    <col min="224" max="224" width="7.7109375" style="283" customWidth="1"/>
    <col min="225" max="225" width="45.7109375" style="283" customWidth="1"/>
    <col min="226" max="228" width="14.7109375" style="283" customWidth="1"/>
    <col min="229" max="230" width="9.140625" style="283" customWidth="1"/>
    <col min="231" max="246" width="12.7109375" style="283" customWidth="1"/>
    <col min="247" max="16384" width="9.140625" style="283" customWidth="1"/>
  </cols>
  <sheetData>
    <row r="1" spans="1:244" s="233" customFormat="1" ht="16.5">
      <c r="A1" s="34"/>
      <c r="B1" s="57"/>
      <c r="C1" s="57"/>
      <c r="D1" s="73"/>
      <c r="E1" s="73"/>
      <c r="F1" s="64"/>
      <c r="G1" s="34"/>
      <c r="H1" s="8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113" t="str">
        <f>AU5</f>
        <v>(Rs. in Crores)</v>
      </c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 t="s">
        <v>513</v>
      </c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 t="s">
        <v>0</v>
      </c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</row>
    <row r="2" spans="1:244" s="233" customFormat="1" ht="16.5">
      <c r="A2" s="34"/>
      <c r="B2" s="505" t="s">
        <v>0</v>
      </c>
      <c r="C2" s="505"/>
      <c r="D2" s="505"/>
      <c r="E2" s="505"/>
      <c r="F2" s="505"/>
      <c r="G2" s="260"/>
      <c r="H2" s="493"/>
      <c r="I2" s="493"/>
      <c r="J2" s="493"/>
      <c r="K2" s="493"/>
      <c r="L2" s="493"/>
      <c r="M2" s="493"/>
      <c r="N2" s="493"/>
      <c r="O2" s="34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34"/>
      <c r="AD2" s="34"/>
      <c r="AE2" s="493"/>
      <c r="AF2" s="493"/>
      <c r="AG2" s="493"/>
      <c r="AH2" s="493"/>
      <c r="AI2" s="493"/>
      <c r="AJ2" s="34"/>
      <c r="AK2" s="34"/>
      <c r="AL2" s="493"/>
      <c r="AM2" s="493"/>
      <c r="AN2" s="493"/>
      <c r="AO2" s="493"/>
      <c r="AP2" s="493"/>
      <c r="AQ2" s="493"/>
      <c r="AR2" s="493"/>
      <c r="AS2" s="271"/>
      <c r="AT2" s="271"/>
      <c r="AU2" s="271"/>
      <c r="AV2" s="34"/>
      <c r="AW2" s="440"/>
      <c r="AX2" s="440"/>
      <c r="AY2" s="440" t="str">
        <f>AN7</f>
        <v>2022-23</v>
      </c>
      <c r="AZ2" s="440" t="str">
        <f aca="true" t="shared" si="0" ref="AZ2:BF2">AO7</f>
        <v>2023-24</v>
      </c>
      <c r="BA2" s="440" t="str">
        <f t="shared" si="0"/>
        <v>2024-25</v>
      </c>
      <c r="BB2" s="440" t="str">
        <f t="shared" si="0"/>
        <v>2025-26</v>
      </c>
      <c r="BC2" s="440" t="str">
        <f t="shared" si="0"/>
        <v>2026-27</v>
      </c>
      <c r="BD2" s="440" t="str">
        <f t="shared" si="0"/>
        <v>2027-28</v>
      </c>
      <c r="BE2" s="440" t="str">
        <f t="shared" si="0"/>
        <v>2028-29</v>
      </c>
      <c r="BF2" s="440" t="str">
        <f t="shared" si="0"/>
        <v>2029-30</v>
      </c>
      <c r="BG2" s="34"/>
      <c r="BH2" s="34"/>
      <c r="BI2" s="493"/>
      <c r="BJ2" s="493"/>
      <c r="BK2" s="493"/>
      <c r="BL2" s="493"/>
      <c r="BM2" s="493"/>
      <c r="BN2" s="493"/>
      <c r="BO2" s="34"/>
      <c r="BP2" s="34"/>
      <c r="BQ2" s="493"/>
      <c r="BR2" s="493"/>
      <c r="BS2" s="493"/>
      <c r="BT2" s="493"/>
      <c r="BU2" s="493"/>
      <c r="BV2" s="493"/>
      <c r="BW2" s="493"/>
      <c r="BX2" s="493"/>
      <c r="BY2" s="271"/>
      <c r="BZ2" s="271"/>
      <c r="CA2" s="271"/>
      <c r="CB2" s="271"/>
      <c r="CC2" s="34"/>
      <c r="CD2" s="493"/>
      <c r="CE2" s="493"/>
      <c r="CF2" s="493"/>
      <c r="CG2" s="493"/>
      <c r="CH2" s="493"/>
      <c r="CI2" s="493"/>
      <c r="CJ2" s="493"/>
      <c r="CK2" s="493"/>
      <c r="CL2" s="271"/>
      <c r="CM2" s="271"/>
      <c r="CN2" s="271"/>
      <c r="CO2" s="271"/>
      <c r="CP2" s="34"/>
      <c r="CQ2" s="34"/>
      <c r="CR2" s="493" t="s">
        <v>626</v>
      </c>
      <c r="CS2" s="493"/>
      <c r="CT2" s="493"/>
      <c r="CU2" s="493"/>
      <c r="CV2" s="493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493" t="s">
        <v>1</v>
      </c>
      <c r="DL2" s="493"/>
      <c r="DM2" s="493"/>
      <c r="DN2" s="493"/>
      <c r="DO2" s="493"/>
      <c r="DP2" s="493"/>
      <c r="DQ2" s="34"/>
      <c r="DR2" s="34"/>
      <c r="DS2" s="494" t="s">
        <v>2</v>
      </c>
      <c r="DT2" s="494"/>
      <c r="DU2" s="494"/>
      <c r="DV2" s="494"/>
      <c r="DW2" s="494"/>
      <c r="DX2" s="494"/>
      <c r="DY2" s="270"/>
      <c r="DZ2" s="494" t="s">
        <v>2</v>
      </c>
      <c r="EA2" s="494"/>
      <c r="EB2" s="494"/>
      <c r="EC2" s="494"/>
      <c r="ED2" s="494"/>
      <c r="EE2" s="494"/>
      <c r="EF2" s="270"/>
      <c r="EG2" s="270"/>
      <c r="EH2" s="270"/>
      <c r="EI2" s="34"/>
      <c r="EJ2" s="493"/>
      <c r="EK2" s="493"/>
      <c r="EL2" s="493"/>
      <c r="EM2" s="493"/>
      <c r="EN2" s="493"/>
      <c r="EO2" s="34"/>
      <c r="EP2" s="493" t="s">
        <v>3</v>
      </c>
      <c r="EQ2" s="493"/>
      <c r="ER2" s="493"/>
      <c r="ES2" s="493"/>
      <c r="ET2" s="493"/>
      <c r="EU2" s="493"/>
      <c r="EV2" s="493"/>
      <c r="EW2" s="493"/>
      <c r="EX2" s="493"/>
      <c r="EY2" s="271"/>
      <c r="EZ2" s="34"/>
      <c r="FA2" s="34"/>
      <c r="FB2" s="493" t="s">
        <v>4</v>
      </c>
      <c r="FC2" s="493"/>
      <c r="FD2" s="493"/>
      <c r="FE2" s="493"/>
      <c r="FF2" s="493"/>
      <c r="FG2" s="493"/>
      <c r="FH2" s="493"/>
      <c r="FI2" s="493"/>
      <c r="FJ2" s="493"/>
      <c r="FK2" s="493"/>
      <c r="FL2" s="493"/>
      <c r="FM2" s="34"/>
      <c r="FN2" s="493" t="s">
        <v>5</v>
      </c>
      <c r="FO2" s="493"/>
      <c r="FP2" s="493"/>
      <c r="FQ2" s="493"/>
      <c r="FR2" s="493"/>
      <c r="FS2" s="493"/>
      <c r="FT2" s="493"/>
      <c r="FU2" s="493"/>
      <c r="FV2" s="493"/>
      <c r="FW2" s="493"/>
      <c r="FX2" s="493"/>
      <c r="FY2" s="34"/>
      <c r="FZ2" s="493" t="s">
        <v>6</v>
      </c>
      <c r="GA2" s="493"/>
      <c r="GB2" s="493"/>
      <c r="GC2" s="493"/>
      <c r="GD2" s="493"/>
      <c r="GE2" s="493"/>
      <c r="GF2" s="493"/>
      <c r="GG2" s="493"/>
      <c r="GH2" s="493"/>
      <c r="GI2" s="493"/>
      <c r="GJ2" s="34"/>
      <c r="GK2" s="284" t="s">
        <v>7</v>
      </c>
      <c r="GL2" s="285"/>
      <c r="GM2" s="285"/>
      <c r="GN2" s="285"/>
      <c r="GO2" s="285"/>
      <c r="GP2" s="285"/>
      <c r="GQ2" s="285"/>
      <c r="GR2" s="285"/>
      <c r="GS2" s="285"/>
      <c r="GT2" s="285"/>
      <c r="GU2" s="285"/>
      <c r="GV2" s="285"/>
      <c r="GW2" s="34"/>
      <c r="GX2" s="34"/>
      <c r="GY2" s="286" t="s">
        <v>8</v>
      </c>
      <c r="GZ2" s="116"/>
      <c r="HA2" s="116"/>
      <c r="HB2" s="116"/>
      <c r="HC2" s="116"/>
      <c r="HD2" s="116"/>
      <c r="HE2" s="116"/>
      <c r="HF2" s="116"/>
      <c r="HG2" s="116"/>
      <c r="HH2" s="116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</row>
    <row r="3" spans="1:244" s="233" customFormat="1" ht="16.5">
      <c r="A3" s="34"/>
      <c r="B3" s="504" t="str">
        <f>+B56</f>
        <v>ESTIMATED COST OF THE PROJECT</v>
      </c>
      <c r="C3" s="504"/>
      <c r="D3" s="504"/>
      <c r="E3" s="504"/>
      <c r="F3" s="504"/>
      <c r="G3" s="64"/>
      <c r="H3" s="493" t="s">
        <v>9</v>
      </c>
      <c r="I3" s="493"/>
      <c r="J3" s="493"/>
      <c r="K3" s="493"/>
      <c r="L3" s="493"/>
      <c r="M3" s="493"/>
      <c r="N3" s="493"/>
      <c r="O3" s="34"/>
      <c r="P3" s="493" t="s">
        <v>619</v>
      </c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34"/>
      <c r="AD3" s="34"/>
      <c r="AE3" s="493" t="s">
        <v>623</v>
      </c>
      <c r="AF3" s="493"/>
      <c r="AG3" s="493"/>
      <c r="AH3" s="493"/>
      <c r="AI3" s="493"/>
      <c r="AJ3" s="34"/>
      <c r="AK3" s="34"/>
      <c r="AL3" s="493" t="s">
        <v>10</v>
      </c>
      <c r="AM3" s="493"/>
      <c r="AN3" s="493"/>
      <c r="AO3" s="493"/>
      <c r="AP3" s="493"/>
      <c r="AQ3" s="493"/>
      <c r="AR3" s="493"/>
      <c r="AS3" s="493"/>
      <c r="AT3" s="493"/>
      <c r="AU3" s="493"/>
      <c r="AV3" s="34"/>
      <c r="AW3" s="36" t="s">
        <v>11</v>
      </c>
      <c r="AX3" s="36" t="s">
        <v>12</v>
      </c>
      <c r="AY3" s="39">
        <f aca="true" t="shared" si="1" ref="AY3:BF3">AN43</f>
        <v>4.906186374999977</v>
      </c>
      <c r="AZ3" s="39">
        <f t="shared" si="1"/>
        <v>6.759216874999994</v>
      </c>
      <c r="BA3" s="39">
        <f t="shared" si="1"/>
        <v>8.770618049999985</v>
      </c>
      <c r="BB3" s="39">
        <f t="shared" si="1"/>
        <v>9.75958430000001</v>
      </c>
      <c r="BC3" s="39">
        <f t="shared" si="1"/>
        <v>10.767277237500002</v>
      </c>
      <c r="BD3" s="39">
        <f t="shared" si="1"/>
        <v>11.994116228125002</v>
      </c>
      <c r="BE3" s="39">
        <f t="shared" si="1"/>
        <v>13.040436774218758</v>
      </c>
      <c r="BF3" s="39">
        <f t="shared" si="1"/>
        <v>13.994540995257818</v>
      </c>
      <c r="BG3" s="64"/>
      <c r="BH3" s="34"/>
      <c r="BI3" s="493" t="s">
        <v>624</v>
      </c>
      <c r="BJ3" s="493"/>
      <c r="BK3" s="493"/>
      <c r="BL3" s="493"/>
      <c r="BM3" s="493"/>
      <c r="BN3" s="493"/>
      <c r="BO3" s="34"/>
      <c r="BP3" s="34"/>
      <c r="BQ3" s="493" t="s">
        <v>625</v>
      </c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271"/>
      <c r="CC3" s="34"/>
      <c r="CD3" s="493" t="s">
        <v>15</v>
      </c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271"/>
      <c r="CP3" s="34"/>
      <c r="CQ3" s="34"/>
      <c r="CR3" s="513" t="s">
        <v>598</v>
      </c>
      <c r="CS3" s="513"/>
      <c r="CT3" s="513"/>
      <c r="CU3" s="513"/>
      <c r="CV3" s="513"/>
      <c r="CW3" s="34"/>
      <c r="CX3" s="493" t="s">
        <v>627</v>
      </c>
      <c r="CY3" s="493"/>
      <c r="CZ3" s="493"/>
      <c r="DA3" s="493"/>
      <c r="DB3" s="493"/>
      <c r="DC3" s="493"/>
      <c r="DD3" s="493"/>
      <c r="DE3" s="493"/>
      <c r="DF3" s="493"/>
      <c r="DG3" s="493"/>
      <c r="DH3" s="270"/>
      <c r="DI3" s="34"/>
      <c r="DJ3" s="34"/>
      <c r="DK3" s="513" t="s">
        <v>16</v>
      </c>
      <c r="DL3" s="513"/>
      <c r="DM3" s="513"/>
      <c r="DN3" s="513"/>
      <c r="DO3" s="513"/>
      <c r="DP3" s="513"/>
      <c r="DQ3" s="34"/>
      <c r="DR3" s="34"/>
      <c r="DS3" s="494" t="s">
        <v>645</v>
      </c>
      <c r="DT3" s="494"/>
      <c r="DU3" s="494"/>
      <c r="DV3" s="494"/>
      <c r="DW3" s="494"/>
      <c r="DX3" s="494"/>
      <c r="DY3" s="34"/>
      <c r="DZ3" s="494" t="s">
        <v>567</v>
      </c>
      <c r="EA3" s="494"/>
      <c r="EB3" s="494"/>
      <c r="EC3" s="494"/>
      <c r="ED3" s="494"/>
      <c r="EE3" s="494"/>
      <c r="EF3" s="34"/>
      <c r="EG3" s="34"/>
      <c r="EH3" s="34"/>
      <c r="EI3" s="34"/>
      <c r="EJ3" s="493"/>
      <c r="EK3" s="493"/>
      <c r="EL3" s="493"/>
      <c r="EM3" s="493"/>
      <c r="EN3" s="493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493" t="s">
        <v>533</v>
      </c>
      <c r="FC3" s="493"/>
      <c r="FD3" s="493"/>
      <c r="FE3" s="493"/>
      <c r="FF3" s="493"/>
      <c r="FG3" s="493"/>
      <c r="FH3" s="493"/>
      <c r="FI3" s="493"/>
      <c r="FJ3" s="493"/>
      <c r="FK3" s="493"/>
      <c r="FL3" s="493"/>
      <c r="FM3" s="34"/>
      <c r="FN3" s="493" t="s">
        <v>19</v>
      </c>
      <c r="FO3" s="493"/>
      <c r="FP3" s="493"/>
      <c r="FQ3" s="493"/>
      <c r="FR3" s="493"/>
      <c r="FS3" s="493"/>
      <c r="FT3" s="493"/>
      <c r="FU3" s="493"/>
      <c r="FV3" s="493"/>
      <c r="FW3" s="493"/>
      <c r="FX3" s="493"/>
      <c r="FY3" s="34"/>
      <c r="FZ3" s="493" t="s">
        <v>20</v>
      </c>
      <c r="GA3" s="493"/>
      <c r="GB3" s="493"/>
      <c r="GC3" s="493"/>
      <c r="GD3" s="493"/>
      <c r="GE3" s="493"/>
      <c r="GF3" s="493"/>
      <c r="GG3" s="493"/>
      <c r="GH3" s="493"/>
      <c r="GI3" s="493"/>
      <c r="GJ3" s="34"/>
      <c r="GK3" s="284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34"/>
      <c r="GX3" s="34"/>
      <c r="GY3" s="286"/>
      <c r="GZ3" s="116"/>
      <c r="HA3" s="116"/>
      <c r="HB3" s="116"/>
      <c r="HC3" s="116"/>
      <c r="HD3" s="116"/>
      <c r="HE3" s="116"/>
      <c r="HF3" s="116"/>
      <c r="HG3" s="116"/>
      <c r="HH3" s="116"/>
      <c r="HI3" s="34"/>
      <c r="HJ3" s="494" t="s">
        <v>17</v>
      </c>
      <c r="HK3" s="494"/>
      <c r="HL3" s="494"/>
      <c r="HM3" s="494"/>
      <c r="HN3" s="34"/>
      <c r="HO3" s="34"/>
      <c r="HP3" s="34"/>
      <c r="HQ3" s="34"/>
      <c r="HR3" s="34"/>
      <c r="HS3" s="34"/>
      <c r="HT3" s="34"/>
      <c r="HU3" s="34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</row>
    <row r="4" spans="1:244" s="233" customFormat="1" ht="17.25" thickBot="1">
      <c r="A4" s="34"/>
      <c r="B4" s="57"/>
      <c r="C4" s="57"/>
      <c r="D4" s="73"/>
      <c r="E4" s="73"/>
      <c r="F4" s="64" t="str">
        <f>+F25</f>
        <v>(Rs. in Crores)</v>
      </c>
      <c r="G4" s="57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41"/>
      <c r="AX4" s="41"/>
      <c r="AY4" s="50"/>
      <c r="AZ4" s="50"/>
      <c r="BA4" s="50"/>
      <c r="BB4" s="50"/>
      <c r="BC4" s="50"/>
      <c r="BD4" s="50"/>
      <c r="BE4" s="50"/>
      <c r="BF4" s="50"/>
      <c r="BG4" s="6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77" t="str">
        <f>+F58</f>
        <v>(Rs. in Crores)</v>
      </c>
      <c r="DY4" s="77"/>
      <c r="DZ4" s="34"/>
      <c r="EA4" s="34"/>
      <c r="EB4" s="34"/>
      <c r="EC4" s="34"/>
      <c r="ED4" s="34"/>
      <c r="EE4" s="77" t="str">
        <f>DX4</f>
        <v>(Rs. in Crores)</v>
      </c>
      <c r="EF4" s="77"/>
      <c r="EG4" s="77"/>
      <c r="EH4" s="77"/>
      <c r="EI4" s="34"/>
      <c r="EJ4" s="513"/>
      <c r="EK4" s="513"/>
      <c r="EL4" s="513"/>
      <c r="EM4" s="513"/>
      <c r="EN4" s="513"/>
      <c r="EO4" s="34"/>
      <c r="EP4" s="34"/>
      <c r="EQ4" s="34"/>
      <c r="ER4" s="34"/>
      <c r="ES4" s="34"/>
      <c r="ET4" s="34"/>
      <c r="EU4" s="34"/>
      <c r="EV4" s="34"/>
      <c r="EW4" s="34"/>
      <c r="EX4" s="77" t="str">
        <f>DX4</f>
        <v>(Rs. in Crores)</v>
      </c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284" t="s">
        <v>21</v>
      </c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34"/>
      <c r="GX4" s="34"/>
      <c r="GY4" s="286" t="s">
        <v>22</v>
      </c>
      <c r="GZ4" s="116"/>
      <c r="HA4" s="116"/>
      <c r="HB4" s="116"/>
      <c r="HC4" s="116"/>
      <c r="HD4" s="116"/>
      <c r="HE4" s="116"/>
      <c r="HF4" s="116"/>
      <c r="HG4" s="116"/>
      <c r="HH4" s="116"/>
      <c r="HI4" s="34"/>
      <c r="HJ4" s="510" t="s">
        <v>23</v>
      </c>
      <c r="HK4" s="510"/>
      <c r="HL4" s="510"/>
      <c r="HM4" s="510"/>
      <c r="HN4" s="34"/>
      <c r="HO4" s="34"/>
      <c r="HP4" s="493" t="s">
        <v>629</v>
      </c>
      <c r="HQ4" s="495"/>
      <c r="HR4" s="495"/>
      <c r="HS4" s="495"/>
      <c r="HT4" s="495"/>
      <c r="HU4" s="34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</row>
    <row r="5" spans="1:244" s="233" customFormat="1" ht="16.5">
      <c r="A5" s="57"/>
      <c r="B5" s="410" t="s">
        <v>31</v>
      </c>
      <c r="C5" s="411"/>
      <c r="D5" s="412"/>
      <c r="E5" s="412"/>
      <c r="F5" s="413" t="s">
        <v>527</v>
      </c>
      <c r="G5" s="57"/>
      <c r="H5" s="34"/>
      <c r="I5" s="34"/>
      <c r="J5" s="34"/>
      <c r="K5" s="34"/>
      <c r="L5" s="34"/>
      <c r="M5" s="34"/>
      <c r="N5" s="77" t="str">
        <f>+F25</f>
        <v>(Rs. in Crores)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77" t="str">
        <f>+F58</f>
        <v>(Rs. in Crores)</v>
      </c>
      <c r="AC5" s="34"/>
      <c r="AD5" s="34"/>
      <c r="AE5" s="34"/>
      <c r="AF5" s="34"/>
      <c r="AG5" s="34"/>
      <c r="AH5" s="34"/>
      <c r="AI5" s="77" t="str">
        <f>+F58</f>
        <v>(Rs. in Crores)</v>
      </c>
      <c r="AJ5" s="34"/>
      <c r="AK5" s="34"/>
      <c r="AL5" s="34"/>
      <c r="AM5" s="34"/>
      <c r="AN5" s="260"/>
      <c r="AO5" s="260"/>
      <c r="AP5" s="260"/>
      <c r="AQ5" s="260"/>
      <c r="AS5" s="113"/>
      <c r="AT5" s="113"/>
      <c r="AU5" s="113" t="str">
        <f>+F58</f>
        <v>(Rs. in Crores)</v>
      </c>
      <c r="AV5" s="34"/>
      <c r="AW5" s="41" t="s">
        <v>25</v>
      </c>
      <c r="AX5" s="41" t="s">
        <v>26</v>
      </c>
      <c r="AY5" s="76">
        <f aca="true" t="shared" si="2" ref="AY5:BF5">+EQ22</f>
        <v>0.931167991562494</v>
      </c>
      <c r="AZ5" s="76">
        <f t="shared" si="2"/>
        <v>1.4885345953124982</v>
      </c>
      <c r="BA5" s="76">
        <f t="shared" si="2"/>
        <v>2.072242335374996</v>
      </c>
      <c r="BB5" s="76">
        <f t="shared" si="2"/>
        <v>2.383333235375003</v>
      </c>
      <c r="BC5" s="76">
        <f t="shared" si="2"/>
        <v>2.687283402875001</v>
      </c>
      <c r="BD5" s="76">
        <f t="shared" si="2"/>
        <v>3.0408052172500004</v>
      </c>
      <c r="BE5" s="76">
        <f t="shared" si="2"/>
        <v>3.3435167434437525</v>
      </c>
      <c r="BF5" s="76">
        <f t="shared" si="2"/>
        <v>3.6129646166571887</v>
      </c>
      <c r="BG5" s="287"/>
      <c r="BH5" s="34"/>
      <c r="BI5" s="425" t="s">
        <v>31</v>
      </c>
      <c r="BJ5" s="421"/>
      <c r="BK5" s="421"/>
      <c r="BL5" s="441"/>
      <c r="BM5" s="421"/>
      <c r="BN5" s="421"/>
      <c r="BO5" s="34"/>
      <c r="BP5" s="34"/>
      <c r="BQ5" s="77"/>
      <c r="BR5" s="34"/>
      <c r="BS5" s="34"/>
      <c r="BT5" s="34"/>
      <c r="BU5" s="34"/>
      <c r="BV5" s="34"/>
      <c r="BW5" s="34"/>
      <c r="BY5" s="77"/>
      <c r="BZ5" s="77"/>
      <c r="CA5" s="77" t="str">
        <f>CN5</f>
        <v>(Rs. in Crores)</v>
      </c>
      <c r="CB5" s="77"/>
      <c r="CC5" s="34"/>
      <c r="CD5" s="34"/>
      <c r="CE5" s="34"/>
      <c r="CF5" s="34"/>
      <c r="CG5" s="34"/>
      <c r="CH5" s="34"/>
      <c r="CI5" s="34"/>
      <c r="CJ5" s="34"/>
      <c r="CL5" s="77"/>
      <c r="CM5" s="77"/>
      <c r="CN5" s="77" t="str">
        <f>+F58</f>
        <v>(Rs. in Crores)</v>
      </c>
      <c r="CO5" s="77"/>
      <c r="CP5" s="34"/>
      <c r="CQ5" s="34"/>
      <c r="CR5" s="34"/>
      <c r="CS5" s="34"/>
      <c r="CT5" s="34"/>
      <c r="CU5" s="34"/>
      <c r="CV5" s="77" t="str">
        <f>+F58</f>
        <v>(Rs. in Crores)</v>
      </c>
      <c r="CW5" s="34"/>
      <c r="CX5" s="34"/>
      <c r="CY5" s="34"/>
      <c r="CZ5" s="34"/>
      <c r="DA5" s="34"/>
      <c r="DB5" s="34"/>
      <c r="DC5" s="34"/>
      <c r="DE5" s="77"/>
      <c r="DF5" s="77"/>
      <c r="DG5" s="77" t="str">
        <f>+F58</f>
        <v>(Rs. in Crores)</v>
      </c>
      <c r="DH5" s="77"/>
      <c r="DI5" s="34"/>
      <c r="DJ5" s="34"/>
      <c r="DK5" s="34"/>
      <c r="DL5" s="34"/>
      <c r="DM5" s="34"/>
      <c r="DN5" s="34"/>
      <c r="DO5" s="34"/>
      <c r="DP5" s="77" t="str">
        <f>+F58</f>
        <v>(Rs. in Crores)</v>
      </c>
      <c r="DQ5" s="34"/>
      <c r="DR5" s="34"/>
      <c r="DS5" s="421"/>
      <c r="DT5" s="421"/>
      <c r="DU5" s="421" t="s">
        <v>27</v>
      </c>
      <c r="DV5" s="421" t="s">
        <v>28</v>
      </c>
      <c r="DW5" s="421" t="s">
        <v>27</v>
      </c>
      <c r="DX5" s="421" t="str">
        <f>+DW5</f>
        <v>Principal</v>
      </c>
      <c r="DY5" s="57"/>
      <c r="DZ5" s="36"/>
      <c r="EA5" s="36"/>
      <c r="EB5" s="36" t="s">
        <v>27</v>
      </c>
      <c r="EC5" s="36" t="s">
        <v>28</v>
      </c>
      <c r="ED5" s="36" t="s">
        <v>27</v>
      </c>
      <c r="EE5" s="36" t="str">
        <f>+ED5</f>
        <v>Principal</v>
      </c>
      <c r="EF5" s="57"/>
      <c r="EG5" s="57"/>
      <c r="EH5" s="57"/>
      <c r="EI5" s="34"/>
      <c r="EJ5" s="34"/>
      <c r="EK5" s="34"/>
      <c r="EL5" s="34"/>
      <c r="EM5" s="34"/>
      <c r="EN5" s="34"/>
      <c r="EO5" s="34"/>
      <c r="EP5" s="434" t="s">
        <v>29</v>
      </c>
      <c r="EQ5" s="440" t="str">
        <f aca="true" t="shared" si="3" ref="EQ5:EX5">+CG7</f>
        <v>2022-23</v>
      </c>
      <c r="ER5" s="440" t="str">
        <f t="shared" si="3"/>
        <v>2023-24</v>
      </c>
      <c r="ES5" s="440" t="str">
        <f t="shared" si="3"/>
        <v>2024-25</v>
      </c>
      <c r="ET5" s="440" t="str">
        <f t="shared" si="3"/>
        <v>2025-26</v>
      </c>
      <c r="EU5" s="440" t="str">
        <f t="shared" si="3"/>
        <v>2026-27</v>
      </c>
      <c r="EV5" s="440" t="str">
        <f t="shared" si="3"/>
        <v>2027-28</v>
      </c>
      <c r="EW5" s="440" t="str">
        <f t="shared" si="3"/>
        <v>2028-29</v>
      </c>
      <c r="EX5" s="440" t="str">
        <f t="shared" si="3"/>
        <v>2029-30</v>
      </c>
      <c r="EY5" s="288"/>
      <c r="EZ5" s="34"/>
      <c r="FA5" s="34"/>
      <c r="FB5" s="289" t="s">
        <v>30</v>
      </c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</row>
    <row r="6" spans="1:244" s="233" customFormat="1" ht="17.25" thickBot="1">
      <c r="A6" s="34"/>
      <c r="B6" s="414" t="s">
        <v>46</v>
      </c>
      <c r="C6" s="496" t="str">
        <f>C61</f>
        <v>Particulars</v>
      </c>
      <c r="D6" s="497"/>
      <c r="E6" s="498"/>
      <c r="F6" s="415" t="s">
        <v>47</v>
      </c>
      <c r="G6" s="57"/>
      <c r="H6" s="421" t="s">
        <v>31</v>
      </c>
      <c r="I6" s="421"/>
      <c r="J6" s="421" t="s">
        <v>33</v>
      </c>
      <c r="K6" s="421" t="s">
        <v>34</v>
      </c>
      <c r="L6" s="421" t="s">
        <v>35</v>
      </c>
      <c r="M6" s="421"/>
      <c r="N6" s="421"/>
      <c r="O6" s="34"/>
      <c r="P6" s="36"/>
      <c r="Q6" s="458"/>
      <c r="R6" s="459" t="s">
        <v>36</v>
      </c>
      <c r="S6" s="460"/>
      <c r="T6" s="499" t="s">
        <v>632</v>
      </c>
      <c r="U6" s="500"/>
      <c r="V6" s="501"/>
      <c r="W6" s="499" t="s">
        <v>633</v>
      </c>
      <c r="X6" s="500"/>
      <c r="Y6" s="501"/>
      <c r="Z6" s="499" t="s">
        <v>634</v>
      </c>
      <c r="AA6" s="500"/>
      <c r="AB6" s="501"/>
      <c r="AC6" s="34"/>
      <c r="AD6" s="34"/>
      <c r="AE6" s="421" t="s">
        <v>31</v>
      </c>
      <c r="AF6" s="421"/>
      <c r="AG6" s="433"/>
      <c r="AH6" s="421"/>
      <c r="AI6" s="421"/>
      <c r="AJ6" s="34"/>
      <c r="AK6" s="34"/>
      <c r="AL6" s="421" t="s">
        <v>31</v>
      </c>
      <c r="AM6" s="421"/>
      <c r="AN6" s="421"/>
      <c r="AO6" s="421"/>
      <c r="AP6" s="421"/>
      <c r="AQ6" s="421"/>
      <c r="AR6" s="421"/>
      <c r="AS6" s="421"/>
      <c r="AT6" s="421"/>
      <c r="AU6" s="421"/>
      <c r="AV6" s="34"/>
      <c r="AW6" s="41"/>
      <c r="AX6" s="41"/>
      <c r="AY6" s="50"/>
      <c r="AZ6" s="50"/>
      <c r="BA6" s="50"/>
      <c r="BB6" s="50"/>
      <c r="BC6" s="50"/>
      <c r="BD6" s="50"/>
      <c r="BE6" s="50"/>
      <c r="BF6" s="50"/>
      <c r="BG6" s="64"/>
      <c r="BH6" s="34"/>
      <c r="BI6" s="428" t="s">
        <v>46</v>
      </c>
      <c r="BJ6" s="428" t="s">
        <v>29</v>
      </c>
      <c r="BK6" s="428" t="s">
        <v>509</v>
      </c>
      <c r="BL6" s="428" t="str">
        <f>+AN7</f>
        <v>2022-23</v>
      </c>
      <c r="BM6" s="428" t="str">
        <f>+AO7</f>
        <v>2023-24</v>
      </c>
      <c r="BN6" s="428" t="str">
        <f>+AP7</f>
        <v>2024-25</v>
      </c>
      <c r="BO6" s="34"/>
      <c r="BP6" s="34"/>
      <c r="BQ6" s="425" t="s">
        <v>31</v>
      </c>
      <c r="BR6" s="421"/>
      <c r="BS6" s="425"/>
      <c r="BT6" s="442" t="s">
        <v>0</v>
      </c>
      <c r="BU6" s="421"/>
      <c r="BV6" s="421"/>
      <c r="BW6" s="421"/>
      <c r="BX6" s="421"/>
      <c r="BY6" s="421"/>
      <c r="BZ6" s="421"/>
      <c r="CA6" s="421"/>
      <c r="CB6" s="57"/>
      <c r="CC6" s="34"/>
      <c r="CD6" s="421" t="s">
        <v>37</v>
      </c>
      <c r="CE6" s="421"/>
      <c r="CF6" s="421"/>
      <c r="CG6" s="433" t="str">
        <f>+BT6</f>
        <v> </v>
      </c>
      <c r="CH6" s="421"/>
      <c r="CI6" s="421"/>
      <c r="CJ6" s="421"/>
      <c r="CK6" s="421"/>
      <c r="CL6" s="421"/>
      <c r="CM6" s="421"/>
      <c r="CN6" s="421"/>
      <c r="CO6" s="57"/>
      <c r="CP6" s="34"/>
      <c r="CQ6" s="34"/>
      <c r="CR6" s="421" t="s">
        <v>31</v>
      </c>
      <c r="CS6" s="421"/>
      <c r="CT6" s="421"/>
      <c r="CU6" s="421"/>
      <c r="CV6" s="421" t="s">
        <v>38</v>
      </c>
      <c r="CW6" s="34"/>
      <c r="CX6" s="425" t="s">
        <v>31</v>
      </c>
      <c r="CY6" s="444"/>
      <c r="CZ6" s="444"/>
      <c r="DA6" s="444"/>
      <c r="DB6" s="444"/>
      <c r="DC6" s="444"/>
      <c r="DD6" s="444"/>
      <c r="DE6" s="444"/>
      <c r="DF6" s="444"/>
      <c r="DG6" s="444"/>
      <c r="DH6" s="288"/>
      <c r="DI6" s="34"/>
      <c r="DJ6" s="34"/>
      <c r="DK6" s="446"/>
      <c r="DL6" s="447"/>
      <c r="DM6" s="425"/>
      <c r="DN6" s="425"/>
      <c r="DO6" s="425" t="s">
        <v>39</v>
      </c>
      <c r="DP6" s="425"/>
      <c r="DQ6" s="34"/>
      <c r="DR6" s="34"/>
      <c r="DS6" s="422" t="s">
        <v>40</v>
      </c>
      <c r="DT6" s="422" t="s">
        <v>41</v>
      </c>
      <c r="DU6" s="422" t="s">
        <v>42</v>
      </c>
      <c r="DV6" s="452">
        <v>0.09</v>
      </c>
      <c r="DW6" s="422" t="s">
        <v>43</v>
      </c>
      <c r="DX6" s="422" t="s">
        <v>44</v>
      </c>
      <c r="DY6" s="57"/>
      <c r="DZ6" s="45" t="s">
        <v>40</v>
      </c>
      <c r="EA6" s="45" t="s">
        <v>41</v>
      </c>
      <c r="EB6" s="45" t="s">
        <v>42</v>
      </c>
      <c r="EC6" s="125">
        <v>0.075</v>
      </c>
      <c r="ED6" s="45" t="s">
        <v>43</v>
      </c>
      <c r="EE6" s="45" t="s">
        <v>44</v>
      </c>
      <c r="EF6" s="57"/>
      <c r="EG6" s="57"/>
      <c r="EH6" s="57"/>
      <c r="EI6" s="34"/>
      <c r="EJ6" s="34"/>
      <c r="EK6" s="34"/>
      <c r="EL6" s="34"/>
      <c r="EM6" s="34"/>
      <c r="EN6" s="62"/>
      <c r="EO6" s="34"/>
      <c r="EP6" s="41"/>
      <c r="EQ6" s="50"/>
      <c r="ER6" s="50"/>
      <c r="ES6" s="50"/>
      <c r="ET6" s="50"/>
      <c r="EU6" s="50"/>
      <c r="EV6" s="50"/>
      <c r="EW6" s="50"/>
      <c r="EX6" s="50"/>
      <c r="EY6" s="6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62"/>
      <c r="FL6" s="62"/>
      <c r="FM6" s="34"/>
      <c r="FN6" s="34"/>
      <c r="FO6" s="34"/>
      <c r="FP6" s="34"/>
      <c r="FQ6" s="34"/>
      <c r="FR6" s="34"/>
      <c r="FS6" s="34"/>
      <c r="FT6" s="34"/>
      <c r="FU6" s="34"/>
      <c r="FV6" s="62"/>
      <c r="FW6" s="62"/>
      <c r="FX6" s="62"/>
      <c r="FY6" s="34"/>
      <c r="FZ6" s="34"/>
      <c r="GA6" s="34"/>
      <c r="GB6" s="34"/>
      <c r="GC6" s="34"/>
      <c r="GD6" s="34"/>
      <c r="GE6" s="34"/>
      <c r="GF6" s="34"/>
      <c r="GG6" s="62"/>
      <c r="GH6" s="62" t="str">
        <f>+F58</f>
        <v>(Rs. in Crores)</v>
      </c>
      <c r="GI6" s="62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 t="str">
        <f>+HH7</f>
        <v>(Rs. in Crores)</v>
      </c>
      <c r="HM6" s="34"/>
      <c r="HN6" s="34"/>
      <c r="HO6" s="34"/>
      <c r="HP6" s="34"/>
      <c r="HQ6" s="34"/>
      <c r="HR6" s="34"/>
      <c r="HS6" s="34"/>
      <c r="HT6" s="403" t="str">
        <f>HL6</f>
        <v>(Rs. in Crores)</v>
      </c>
      <c r="HU6" s="34"/>
      <c r="HV6" s="81"/>
      <c r="HW6" s="81"/>
      <c r="HX6" s="81"/>
      <c r="HY6" s="290" t="s">
        <v>45</v>
      </c>
      <c r="HZ6" s="84"/>
      <c r="IA6" s="291"/>
      <c r="IB6" s="81"/>
      <c r="IC6" s="81"/>
      <c r="ID6" s="81"/>
      <c r="IE6" s="81"/>
      <c r="IF6" s="81"/>
      <c r="IG6" s="81"/>
      <c r="IH6" s="81"/>
      <c r="II6" s="81"/>
      <c r="IJ6" s="81"/>
    </row>
    <row r="7" spans="1:244" s="233" customFormat="1" ht="16.5">
      <c r="A7" s="34"/>
      <c r="B7" s="384"/>
      <c r="C7" s="78"/>
      <c r="D7" s="74"/>
      <c r="E7" s="387"/>
      <c r="F7" s="385"/>
      <c r="G7" s="57"/>
      <c r="H7" s="422" t="s">
        <v>46</v>
      </c>
      <c r="I7" s="422" t="s">
        <v>29</v>
      </c>
      <c r="J7" s="422" t="s">
        <v>47</v>
      </c>
      <c r="K7" s="422" t="s">
        <v>47</v>
      </c>
      <c r="L7" s="423" t="s">
        <v>48</v>
      </c>
      <c r="M7" s="423" t="s">
        <v>42</v>
      </c>
      <c r="N7" s="422" t="s">
        <v>49</v>
      </c>
      <c r="O7" s="34"/>
      <c r="P7" s="41"/>
      <c r="Q7" s="461"/>
      <c r="R7" s="462" t="s">
        <v>640</v>
      </c>
      <c r="S7" s="462" t="s">
        <v>50</v>
      </c>
      <c r="T7" s="463"/>
      <c r="U7" s="459" t="s">
        <v>51</v>
      </c>
      <c r="V7" s="459" t="s">
        <v>50</v>
      </c>
      <c r="W7" s="463"/>
      <c r="X7" s="459" t="str">
        <f aca="true" t="shared" si="4" ref="X7:Y9">+U7</f>
        <v>Amount of</v>
      </c>
      <c r="Y7" s="459" t="str">
        <f t="shared" si="4"/>
        <v>Margin</v>
      </c>
      <c r="Z7" s="463"/>
      <c r="AA7" s="459" t="str">
        <f aca="true" t="shared" si="5" ref="AA7:AB9">+X7</f>
        <v>Amount of</v>
      </c>
      <c r="AB7" s="464" t="str">
        <f t="shared" si="5"/>
        <v>Margin</v>
      </c>
      <c r="AC7" s="34"/>
      <c r="AD7" s="34"/>
      <c r="AE7" s="422" t="s">
        <v>46</v>
      </c>
      <c r="AF7" s="422" t="s">
        <v>29</v>
      </c>
      <c r="AG7" s="428" t="str">
        <f>T6</f>
        <v>2022-23</v>
      </c>
      <c r="AH7" s="428" t="str">
        <f>W6</f>
        <v>2023-24</v>
      </c>
      <c r="AI7" s="428" t="str">
        <f>Z6</f>
        <v>2024-25</v>
      </c>
      <c r="AJ7" s="34"/>
      <c r="AK7" s="34"/>
      <c r="AL7" s="422" t="s">
        <v>46</v>
      </c>
      <c r="AM7" s="438" t="s">
        <v>29</v>
      </c>
      <c r="AN7" s="428" t="str">
        <f>AG7</f>
        <v>2022-23</v>
      </c>
      <c r="AO7" s="428" t="str">
        <f>AH7</f>
        <v>2023-24</v>
      </c>
      <c r="AP7" s="428" t="str">
        <f>AI7</f>
        <v>2024-25</v>
      </c>
      <c r="AQ7" s="428" t="s">
        <v>635</v>
      </c>
      <c r="AR7" s="428" t="s">
        <v>636</v>
      </c>
      <c r="AS7" s="428" t="s">
        <v>637</v>
      </c>
      <c r="AT7" s="428" t="s">
        <v>638</v>
      </c>
      <c r="AU7" s="428" t="s">
        <v>644</v>
      </c>
      <c r="AV7" s="34"/>
      <c r="AW7" s="41" t="s">
        <v>52</v>
      </c>
      <c r="AX7" s="41" t="s">
        <v>53</v>
      </c>
      <c r="AY7" s="50">
        <f aca="true" t="shared" si="6" ref="AY7:BF7">+AY3-AY5</f>
        <v>3.975018383437483</v>
      </c>
      <c r="AZ7" s="50">
        <f t="shared" si="6"/>
        <v>5.270682279687495</v>
      </c>
      <c r="BA7" s="50">
        <f t="shared" si="6"/>
        <v>6.698375714624989</v>
      </c>
      <c r="BB7" s="50">
        <f t="shared" si="6"/>
        <v>7.3762510646250075</v>
      </c>
      <c r="BC7" s="50">
        <f t="shared" si="6"/>
        <v>8.079993834625</v>
      </c>
      <c r="BD7" s="50">
        <f t="shared" si="6"/>
        <v>8.953311010875002</v>
      </c>
      <c r="BE7" s="50">
        <f t="shared" si="6"/>
        <v>9.696920030775006</v>
      </c>
      <c r="BF7" s="50">
        <f t="shared" si="6"/>
        <v>10.381576378600629</v>
      </c>
      <c r="BG7" s="64"/>
      <c r="BH7" s="34"/>
      <c r="BI7" s="41"/>
      <c r="BJ7" s="41"/>
      <c r="BK7" s="41"/>
      <c r="BL7" s="44"/>
      <c r="BM7" s="44"/>
      <c r="BN7" s="44"/>
      <c r="BO7" s="34"/>
      <c r="BP7" s="34"/>
      <c r="BQ7" s="427"/>
      <c r="BR7" s="426"/>
      <c r="BS7" s="427"/>
      <c r="BT7" s="443"/>
      <c r="BU7" s="426"/>
      <c r="BV7" s="426"/>
      <c r="BW7" s="426"/>
      <c r="BX7" s="426"/>
      <c r="BY7" s="426"/>
      <c r="BZ7" s="426"/>
      <c r="CA7" s="426"/>
      <c r="CB7" s="288"/>
      <c r="CC7" s="34"/>
      <c r="CD7" s="422" t="s">
        <v>46</v>
      </c>
      <c r="CE7" s="422" t="s">
        <v>29</v>
      </c>
      <c r="CF7" s="422">
        <f>BS8</f>
        <v>0</v>
      </c>
      <c r="CG7" s="428" t="str">
        <f>+BT8</f>
        <v>2022-23</v>
      </c>
      <c r="CH7" s="428" t="str">
        <f>+BU8</f>
        <v>2023-24</v>
      </c>
      <c r="CI7" s="423" t="str">
        <f>+Z6</f>
        <v>2024-25</v>
      </c>
      <c r="CJ7" s="423" t="str">
        <f>+BW8</f>
        <v>2025-26</v>
      </c>
      <c r="CK7" s="423" t="str">
        <f>+BX8</f>
        <v>2026-27</v>
      </c>
      <c r="CL7" s="423" t="str">
        <f>+BY8</f>
        <v>2027-28</v>
      </c>
      <c r="CM7" s="423" t="str">
        <f>+BZ8</f>
        <v>2028-29</v>
      </c>
      <c r="CN7" s="423" t="str">
        <f>+CA8</f>
        <v>2029-30</v>
      </c>
      <c r="CO7" s="292"/>
      <c r="CP7" s="34"/>
      <c r="CQ7" s="34"/>
      <c r="CR7" s="422" t="s">
        <v>46</v>
      </c>
      <c r="CS7" s="438" t="s">
        <v>29</v>
      </c>
      <c r="CT7" s="422" t="s">
        <v>55</v>
      </c>
      <c r="CU7" s="422" t="s">
        <v>56</v>
      </c>
      <c r="CV7" s="422" t="s">
        <v>57</v>
      </c>
      <c r="CW7" s="34"/>
      <c r="CX7" s="428" t="s">
        <v>46</v>
      </c>
      <c r="CY7" s="445" t="s">
        <v>29</v>
      </c>
      <c r="CZ7" s="445" t="str">
        <f aca="true" t="shared" si="7" ref="CZ7:DG7">+CG7</f>
        <v>2022-23</v>
      </c>
      <c r="DA7" s="445" t="str">
        <f t="shared" si="7"/>
        <v>2023-24</v>
      </c>
      <c r="DB7" s="445" t="str">
        <f t="shared" si="7"/>
        <v>2024-25</v>
      </c>
      <c r="DC7" s="445" t="str">
        <f t="shared" si="7"/>
        <v>2025-26</v>
      </c>
      <c r="DD7" s="445" t="str">
        <f t="shared" si="7"/>
        <v>2026-27</v>
      </c>
      <c r="DE7" s="445" t="str">
        <f t="shared" si="7"/>
        <v>2027-28</v>
      </c>
      <c r="DF7" s="445" t="str">
        <f t="shared" si="7"/>
        <v>2028-29</v>
      </c>
      <c r="DG7" s="445" t="str">
        <f t="shared" si="7"/>
        <v>2029-30</v>
      </c>
      <c r="DH7" s="288"/>
      <c r="DI7" s="34"/>
      <c r="DJ7" s="34"/>
      <c r="DK7" s="448"/>
      <c r="DL7" s="449"/>
      <c r="DM7" s="427"/>
      <c r="DN7" s="427" t="s">
        <v>58</v>
      </c>
      <c r="DO7" s="427" t="s">
        <v>59</v>
      </c>
      <c r="DP7" s="427"/>
      <c r="DQ7" s="34"/>
      <c r="DR7" s="34"/>
      <c r="DS7" s="41"/>
      <c r="DT7" s="41"/>
      <c r="DU7" s="41"/>
      <c r="DV7" s="41"/>
      <c r="DW7" s="41"/>
      <c r="DX7" s="41"/>
      <c r="DY7" s="57"/>
      <c r="DZ7" s="41"/>
      <c r="EA7" s="41"/>
      <c r="EB7" s="41"/>
      <c r="EC7" s="41"/>
      <c r="ED7" s="41"/>
      <c r="EE7" s="41"/>
      <c r="EF7" s="57"/>
      <c r="EG7" s="57"/>
      <c r="EH7" s="57"/>
      <c r="EI7" s="34"/>
      <c r="EJ7" s="36"/>
      <c r="EK7" s="36"/>
      <c r="EL7" s="36" t="s">
        <v>60</v>
      </c>
      <c r="EM7" s="36"/>
      <c r="EN7" s="43" t="s">
        <v>61</v>
      </c>
      <c r="EO7" s="34"/>
      <c r="EP7" s="41" t="s">
        <v>62</v>
      </c>
      <c r="EQ7" s="50">
        <f aca="true" t="shared" si="8" ref="EQ7:EX7">+AY3</f>
        <v>4.906186374999977</v>
      </c>
      <c r="ER7" s="50">
        <f t="shared" si="8"/>
        <v>6.759216874999994</v>
      </c>
      <c r="ES7" s="50">
        <f t="shared" si="8"/>
        <v>8.770618049999985</v>
      </c>
      <c r="ET7" s="50">
        <f t="shared" si="8"/>
        <v>9.75958430000001</v>
      </c>
      <c r="EU7" s="50">
        <f t="shared" si="8"/>
        <v>10.767277237500002</v>
      </c>
      <c r="EV7" s="50">
        <f t="shared" si="8"/>
        <v>11.994116228125002</v>
      </c>
      <c r="EW7" s="50">
        <f t="shared" si="8"/>
        <v>13.040436774218758</v>
      </c>
      <c r="EX7" s="50">
        <f t="shared" si="8"/>
        <v>13.994540995257818</v>
      </c>
      <c r="EY7" s="64"/>
      <c r="EZ7" s="34"/>
      <c r="FA7" s="34"/>
      <c r="FB7" s="40"/>
      <c r="FC7" s="40" t="s">
        <v>63</v>
      </c>
      <c r="FD7" s="40"/>
      <c r="FE7" s="40"/>
      <c r="FF7" s="40"/>
      <c r="FG7" s="40"/>
      <c r="FH7" s="40"/>
      <c r="FI7" s="40"/>
      <c r="FJ7" s="40"/>
      <c r="FK7" s="293"/>
      <c r="FL7" s="293"/>
      <c r="FM7" s="34"/>
      <c r="FN7" s="40"/>
      <c r="FO7" s="40"/>
      <c r="FP7" s="40"/>
      <c r="FQ7" s="40"/>
      <c r="FR7" s="40"/>
      <c r="FS7" s="40"/>
      <c r="FT7" s="40" t="s">
        <v>29</v>
      </c>
      <c r="FU7" s="40"/>
      <c r="FV7" s="293" t="s">
        <v>64</v>
      </c>
      <c r="FW7" s="293"/>
      <c r="FX7" s="293" t="s">
        <v>65</v>
      </c>
      <c r="FY7" s="34"/>
      <c r="FZ7" s="36"/>
      <c r="GA7" s="36"/>
      <c r="GB7" s="36"/>
      <c r="GC7" s="36"/>
      <c r="GD7" s="36" t="s">
        <v>24</v>
      </c>
      <c r="GE7" s="36"/>
      <c r="GF7" s="38" t="s">
        <v>32</v>
      </c>
      <c r="GG7" s="41" t="s">
        <v>66</v>
      </c>
      <c r="GH7" s="41" t="s">
        <v>67</v>
      </c>
      <c r="GI7" s="41"/>
      <c r="GJ7" s="34"/>
      <c r="GK7" s="36"/>
      <c r="GL7" s="40" t="s">
        <v>68</v>
      </c>
      <c r="GM7" s="40"/>
      <c r="GN7" s="36"/>
      <c r="GO7" s="36"/>
      <c r="GP7" s="36" t="s">
        <v>69</v>
      </c>
      <c r="GQ7" s="36"/>
      <c r="GR7" s="36"/>
      <c r="GS7" s="36"/>
      <c r="GT7" s="36"/>
      <c r="GU7" s="36"/>
      <c r="GV7" s="36"/>
      <c r="GW7" s="34"/>
      <c r="GX7" s="34"/>
      <c r="GY7" s="34"/>
      <c r="GZ7" s="34"/>
      <c r="HA7" s="34"/>
      <c r="HB7" s="34"/>
      <c r="HD7" s="34"/>
      <c r="HE7" s="34"/>
      <c r="HF7" s="34"/>
      <c r="HG7" s="34"/>
      <c r="HH7" s="77" t="str">
        <f>+F58</f>
        <v>(Rs. in Crores)</v>
      </c>
      <c r="HI7" s="34"/>
      <c r="HJ7" s="454" t="s">
        <v>628</v>
      </c>
      <c r="HK7" s="422" t="s">
        <v>615</v>
      </c>
      <c r="HL7" s="422" t="s">
        <v>616</v>
      </c>
      <c r="HM7" s="453" t="s">
        <v>617</v>
      </c>
      <c r="HN7" s="34"/>
      <c r="HO7" s="34"/>
      <c r="HP7" s="421"/>
      <c r="HQ7" s="421"/>
      <c r="HR7" s="421" t="s">
        <v>0</v>
      </c>
      <c r="HS7" s="421"/>
      <c r="HT7" s="421"/>
      <c r="HU7" s="34"/>
      <c r="HV7" s="81"/>
      <c r="HW7" s="81"/>
      <c r="HX7" s="81"/>
      <c r="HY7" s="81"/>
      <c r="HZ7" s="84"/>
      <c r="IA7" s="291"/>
      <c r="IB7" s="81"/>
      <c r="IC7" s="81"/>
      <c r="ID7" s="81"/>
      <c r="IE7" s="81"/>
      <c r="IF7" s="81"/>
      <c r="IG7" s="81"/>
      <c r="IH7" s="81"/>
      <c r="II7" s="81"/>
      <c r="IJ7" s="81"/>
    </row>
    <row r="8" spans="1:244" s="233" customFormat="1" ht="16.5">
      <c r="A8" s="34"/>
      <c r="B8" s="384">
        <v>1</v>
      </c>
      <c r="C8" s="42" t="s">
        <v>107</v>
      </c>
      <c r="D8" s="73"/>
      <c r="E8" s="119"/>
      <c r="F8" s="385">
        <v>6</v>
      </c>
      <c r="G8" s="57"/>
      <c r="H8" s="36"/>
      <c r="I8" s="36"/>
      <c r="J8" s="39"/>
      <c r="K8" s="36"/>
      <c r="L8" s="91"/>
      <c r="M8" s="92"/>
      <c r="N8" s="36"/>
      <c r="O8" s="34"/>
      <c r="P8" s="41" t="s">
        <v>31</v>
      </c>
      <c r="Q8" s="461"/>
      <c r="R8" s="462" t="s">
        <v>71</v>
      </c>
      <c r="S8" s="462" t="s">
        <v>72</v>
      </c>
      <c r="T8" s="465"/>
      <c r="U8" s="462" t="s">
        <v>73</v>
      </c>
      <c r="V8" s="462" t="s">
        <v>74</v>
      </c>
      <c r="W8" s="465"/>
      <c r="X8" s="462" t="str">
        <f t="shared" si="4"/>
        <v>Bank</v>
      </c>
      <c r="Y8" s="462" t="str">
        <f t="shared" si="4"/>
        <v>Money</v>
      </c>
      <c r="Z8" s="465"/>
      <c r="AA8" s="462" t="str">
        <f t="shared" si="5"/>
        <v>Bank</v>
      </c>
      <c r="AB8" s="466" t="str">
        <f t="shared" si="5"/>
        <v>Money</v>
      </c>
      <c r="AC8" s="34"/>
      <c r="AD8" s="34"/>
      <c r="AE8" s="434"/>
      <c r="AF8" s="422" t="s">
        <v>226</v>
      </c>
      <c r="AG8" s="487">
        <f>+BL28</f>
        <v>0.6</v>
      </c>
      <c r="AH8" s="487">
        <f>+BM28</f>
        <v>0.7</v>
      </c>
      <c r="AI8" s="487">
        <f>+BN28</f>
        <v>0.8</v>
      </c>
      <c r="AJ8" s="34"/>
      <c r="AK8" s="34"/>
      <c r="AL8" s="41"/>
      <c r="AM8" s="41"/>
      <c r="AN8" s="50"/>
      <c r="AO8" s="50"/>
      <c r="AP8" s="50"/>
      <c r="AQ8" s="50"/>
      <c r="AR8" s="50"/>
      <c r="AS8" s="50"/>
      <c r="AT8" s="50"/>
      <c r="AU8" s="50"/>
      <c r="AV8" s="34"/>
      <c r="AW8" s="41"/>
      <c r="AX8" s="41"/>
      <c r="AY8" s="50"/>
      <c r="AZ8" s="50"/>
      <c r="BA8" s="50"/>
      <c r="BB8" s="50"/>
      <c r="BC8" s="50"/>
      <c r="BD8" s="50"/>
      <c r="BE8" s="50"/>
      <c r="BF8" s="50"/>
      <c r="BG8" s="64"/>
      <c r="BH8" s="34"/>
      <c r="BI8" s="41">
        <v>1</v>
      </c>
      <c r="BJ8" s="100" t="s">
        <v>508</v>
      </c>
      <c r="BK8" s="100"/>
      <c r="BL8" s="41"/>
      <c r="BM8" s="41"/>
      <c r="BN8" s="41"/>
      <c r="BO8" s="34"/>
      <c r="BP8" s="34"/>
      <c r="BQ8" s="428" t="s">
        <v>46</v>
      </c>
      <c r="BR8" s="428" t="s">
        <v>29</v>
      </c>
      <c r="BS8" s="428"/>
      <c r="BT8" s="428" t="str">
        <f aca="true" t="shared" si="9" ref="BT8:CA8">+AN7</f>
        <v>2022-23</v>
      </c>
      <c r="BU8" s="428" t="str">
        <f t="shared" si="9"/>
        <v>2023-24</v>
      </c>
      <c r="BV8" s="428" t="str">
        <f t="shared" si="9"/>
        <v>2024-25</v>
      </c>
      <c r="BW8" s="428" t="str">
        <f t="shared" si="9"/>
        <v>2025-26</v>
      </c>
      <c r="BX8" s="428" t="str">
        <f t="shared" si="9"/>
        <v>2026-27</v>
      </c>
      <c r="BY8" s="428" t="str">
        <f t="shared" si="9"/>
        <v>2027-28</v>
      </c>
      <c r="BZ8" s="428" t="str">
        <f t="shared" si="9"/>
        <v>2028-29</v>
      </c>
      <c r="CA8" s="428" t="str">
        <f t="shared" si="9"/>
        <v>2029-30</v>
      </c>
      <c r="CB8" s="64"/>
      <c r="CC8" s="34"/>
      <c r="CD8" s="36"/>
      <c r="CE8" s="36"/>
      <c r="CF8" s="471"/>
      <c r="CG8" s="39"/>
      <c r="CH8" s="39"/>
      <c r="CI8" s="39"/>
      <c r="CJ8" s="39"/>
      <c r="CK8" s="39"/>
      <c r="CL8" s="39"/>
      <c r="CM8" s="39"/>
      <c r="CN8" s="39"/>
      <c r="CO8" s="64"/>
      <c r="CP8" s="34"/>
      <c r="CQ8" s="34"/>
      <c r="CR8" s="41"/>
      <c r="CS8" s="41"/>
      <c r="CT8" s="41"/>
      <c r="CU8" s="111"/>
      <c r="CV8" s="41"/>
      <c r="CW8" s="34"/>
      <c r="CX8" s="40"/>
      <c r="CY8" s="38"/>
      <c r="CZ8" s="235"/>
      <c r="DA8" s="235"/>
      <c r="DB8" s="235"/>
      <c r="DC8" s="235"/>
      <c r="DD8" s="235"/>
      <c r="DE8" s="235"/>
      <c r="DF8" s="235"/>
      <c r="DG8" s="235"/>
      <c r="DH8" s="64"/>
      <c r="DI8" s="34"/>
      <c r="DJ8" s="34"/>
      <c r="DK8" s="450" t="s">
        <v>29</v>
      </c>
      <c r="DL8" s="451"/>
      <c r="DM8" s="428" t="s">
        <v>78</v>
      </c>
      <c r="DN8" s="428" t="s">
        <v>79</v>
      </c>
      <c r="DO8" s="428" t="s">
        <v>80</v>
      </c>
      <c r="DP8" s="428" t="s">
        <v>24</v>
      </c>
      <c r="DQ8" s="34"/>
      <c r="DR8" s="34"/>
      <c r="DS8" s="41" t="str">
        <f>+DL11</f>
        <v>2022-23</v>
      </c>
      <c r="DT8" s="41" t="s">
        <v>81</v>
      </c>
      <c r="DU8" s="50">
        <f>F35</f>
        <v>19.9</v>
      </c>
      <c r="DV8" s="50">
        <f>DU8*DV$6/4</f>
        <v>0.4477499999999999</v>
      </c>
      <c r="DW8" s="50">
        <v>0</v>
      </c>
      <c r="DX8" s="50">
        <f aca="true" t="shared" si="10" ref="DX8:DX16">+DU8-DW8</f>
        <v>19.9</v>
      </c>
      <c r="DY8" s="64"/>
      <c r="DZ8" s="41" t="str">
        <f>DS8</f>
        <v>2022-23</v>
      </c>
      <c r="EA8" s="41" t="s">
        <v>81</v>
      </c>
      <c r="EB8" s="50"/>
      <c r="EC8" s="50"/>
      <c r="ED8" s="50"/>
      <c r="EE8" s="50"/>
      <c r="EF8" s="64"/>
      <c r="EG8" s="64"/>
      <c r="EH8" s="64"/>
      <c r="EI8" s="34"/>
      <c r="EJ8" s="41" t="s">
        <v>82</v>
      </c>
      <c r="EK8" s="41" t="s">
        <v>83</v>
      </c>
      <c r="EL8" s="41" t="s">
        <v>47</v>
      </c>
      <c r="EM8" s="41"/>
      <c r="EN8" s="43" t="s">
        <v>84</v>
      </c>
      <c r="EO8" s="34"/>
      <c r="EP8" s="41" t="s">
        <v>85</v>
      </c>
      <c r="EQ8" s="50"/>
      <c r="ER8" s="50"/>
      <c r="ES8" s="50"/>
      <c r="ET8" s="50"/>
      <c r="EU8" s="50"/>
      <c r="EV8" s="50"/>
      <c r="EW8" s="50"/>
      <c r="EX8" s="50"/>
      <c r="EY8" s="64"/>
      <c r="EZ8" s="34"/>
      <c r="FA8" s="34"/>
      <c r="FB8" s="44" t="s">
        <v>69</v>
      </c>
      <c r="FC8" s="44" t="s">
        <v>86</v>
      </c>
      <c r="FD8" s="44" t="s">
        <v>87</v>
      </c>
      <c r="FE8" s="44" t="s">
        <v>88</v>
      </c>
      <c r="FF8" s="44"/>
      <c r="FG8" s="44"/>
      <c r="FH8" s="44"/>
      <c r="FI8" s="44"/>
      <c r="FJ8" s="44" t="s">
        <v>89</v>
      </c>
      <c r="FK8" s="293"/>
      <c r="FL8" s="293"/>
      <c r="FM8" s="34"/>
      <c r="FN8" s="44"/>
      <c r="FO8" s="44"/>
      <c r="FP8" s="44"/>
      <c r="FQ8" s="44" t="s">
        <v>90</v>
      </c>
      <c r="FR8" s="44" t="s">
        <v>29</v>
      </c>
      <c r="FS8" s="44" t="s">
        <v>91</v>
      </c>
      <c r="FT8" s="44" t="s">
        <v>92</v>
      </c>
      <c r="FU8" s="44"/>
      <c r="FV8" s="293" t="s">
        <v>93</v>
      </c>
      <c r="FW8" s="293"/>
      <c r="FX8" s="293" t="s">
        <v>94</v>
      </c>
      <c r="FY8" s="34"/>
      <c r="FZ8" s="41" t="s">
        <v>31</v>
      </c>
      <c r="GA8" s="41"/>
      <c r="GB8" s="41" t="s">
        <v>95</v>
      </c>
      <c r="GC8" s="41" t="s">
        <v>36</v>
      </c>
      <c r="GD8" s="41" t="s">
        <v>96</v>
      </c>
      <c r="GE8" s="41" t="s">
        <v>97</v>
      </c>
      <c r="GF8" s="43" t="s">
        <v>47</v>
      </c>
      <c r="GG8" s="41" t="s">
        <v>98</v>
      </c>
      <c r="GH8" s="41" t="s">
        <v>99</v>
      </c>
      <c r="GI8" s="41"/>
      <c r="GJ8" s="34"/>
      <c r="GK8" s="44"/>
      <c r="GL8" s="44" t="s">
        <v>100</v>
      </c>
      <c r="GM8" s="44" t="s">
        <v>101</v>
      </c>
      <c r="GN8" s="44"/>
      <c r="GO8" s="44" t="s">
        <v>102</v>
      </c>
      <c r="GP8" s="44" t="s">
        <v>103</v>
      </c>
      <c r="GQ8" s="44" t="s">
        <v>104</v>
      </c>
      <c r="GR8" s="44"/>
      <c r="GS8" s="44"/>
      <c r="GT8" s="44"/>
      <c r="GU8" s="44"/>
      <c r="GV8" s="44" t="s">
        <v>105</v>
      </c>
      <c r="GW8" s="34"/>
      <c r="GX8" s="34"/>
      <c r="GY8" s="36"/>
      <c r="GZ8" s="92" t="s">
        <v>68</v>
      </c>
      <c r="HA8" s="36"/>
      <c r="HB8" s="36"/>
      <c r="HC8" s="36"/>
      <c r="HD8" s="36" t="s">
        <v>69</v>
      </c>
      <c r="HE8" s="36"/>
      <c r="HF8" s="36"/>
      <c r="HG8" s="36"/>
      <c r="HH8" s="36"/>
      <c r="HI8" s="34"/>
      <c r="HJ8" s="393" t="s">
        <v>70</v>
      </c>
      <c r="HK8" s="392" t="s">
        <v>29</v>
      </c>
      <c r="HL8" s="392" t="s">
        <v>42</v>
      </c>
      <c r="HM8" s="394" t="s">
        <v>42</v>
      </c>
      <c r="HN8" s="34"/>
      <c r="HO8" s="34"/>
      <c r="HP8" s="455" t="s">
        <v>70</v>
      </c>
      <c r="HQ8" s="456" t="s">
        <v>29</v>
      </c>
      <c r="HR8" s="456" t="str">
        <f>+AG7</f>
        <v>2022-23</v>
      </c>
      <c r="HS8" s="456" t="str">
        <f>+AH7</f>
        <v>2023-24</v>
      </c>
      <c r="HT8" s="456" t="str">
        <f>+AI7</f>
        <v>2024-25</v>
      </c>
      <c r="HU8" s="34"/>
      <c r="HV8" s="81"/>
      <c r="HW8" s="81"/>
      <c r="HX8" s="81">
        <v>1</v>
      </c>
      <c r="HY8" s="81" t="s">
        <v>106</v>
      </c>
      <c r="HZ8" s="84"/>
      <c r="IA8" s="291"/>
      <c r="IB8" s="81"/>
      <c r="IC8" s="81"/>
      <c r="ID8" s="81"/>
      <c r="IE8" s="81"/>
      <c r="IF8" s="81"/>
      <c r="IG8" s="81"/>
      <c r="IH8" s="81"/>
      <c r="II8" s="81"/>
      <c r="IJ8" s="81"/>
    </row>
    <row r="9" spans="1:244" s="233" customFormat="1" ht="16.5">
      <c r="A9" s="34"/>
      <c r="B9" s="384"/>
      <c r="C9" s="42"/>
      <c r="D9" s="73"/>
      <c r="E9" s="119"/>
      <c r="F9" s="385"/>
      <c r="G9" s="57"/>
      <c r="H9" s="41">
        <v>1</v>
      </c>
      <c r="I9" s="41" t="s">
        <v>108</v>
      </c>
      <c r="J9" s="76">
        <v>3</v>
      </c>
      <c r="K9" s="50">
        <f>F8-J9</f>
        <v>3</v>
      </c>
      <c r="L9" s="93">
        <v>0.1</v>
      </c>
      <c r="M9" s="50">
        <f>K9*L9</f>
        <v>0.30000000000000004</v>
      </c>
      <c r="N9" s="50"/>
      <c r="O9" s="34"/>
      <c r="P9" s="45" t="s">
        <v>46</v>
      </c>
      <c r="Q9" s="467" t="s">
        <v>29</v>
      </c>
      <c r="R9" s="468" t="s">
        <v>109</v>
      </c>
      <c r="S9" s="468" t="s">
        <v>110</v>
      </c>
      <c r="T9" s="469" t="s">
        <v>42</v>
      </c>
      <c r="U9" s="468" t="s">
        <v>111</v>
      </c>
      <c r="V9" s="468" t="s">
        <v>112</v>
      </c>
      <c r="W9" s="469" t="str">
        <f>+T9</f>
        <v>Amount</v>
      </c>
      <c r="X9" s="468" t="str">
        <f t="shared" si="4"/>
        <v>Finance </v>
      </c>
      <c r="Y9" s="468" t="str">
        <f t="shared" si="4"/>
        <v>required</v>
      </c>
      <c r="Z9" s="469" t="str">
        <f>+W9</f>
        <v>Amount</v>
      </c>
      <c r="AA9" s="468" t="str">
        <f t="shared" si="5"/>
        <v>Finance </v>
      </c>
      <c r="AB9" s="470" t="str">
        <f t="shared" si="5"/>
        <v>required</v>
      </c>
      <c r="AC9" s="34"/>
      <c r="AD9" s="34"/>
      <c r="AE9" s="41">
        <v>1</v>
      </c>
      <c r="AF9" s="41" t="s">
        <v>238</v>
      </c>
      <c r="AG9" s="50"/>
      <c r="AH9" s="50"/>
      <c r="AI9" s="50"/>
      <c r="AJ9" s="34"/>
      <c r="AK9" s="260"/>
      <c r="AL9" s="41" t="s">
        <v>113</v>
      </c>
      <c r="AM9" s="41" t="s">
        <v>114</v>
      </c>
      <c r="AN9" s="486">
        <f>+AG42</f>
        <v>111.44700000000002</v>
      </c>
      <c r="AO9" s="486">
        <f>+AH42</f>
        <v>129.855</v>
      </c>
      <c r="AP9" s="486">
        <f>+AI42</f>
        <v>148.2828</v>
      </c>
      <c r="AQ9" s="50">
        <f>AP9*105%</f>
        <v>155.69694</v>
      </c>
      <c r="AR9" s="50">
        <f>AQ9*105%</f>
        <v>163.48178700000003</v>
      </c>
      <c r="AS9" s="50">
        <f>AR9*105%</f>
        <v>171.65587635000003</v>
      </c>
      <c r="AT9" s="50">
        <f>AS9*105%</f>
        <v>180.23867016750003</v>
      </c>
      <c r="AU9" s="50">
        <f>AT9*105%</f>
        <v>189.25060367587506</v>
      </c>
      <c r="AV9" s="34"/>
      <c r="AW9" s="41" t="s">
        <v>115</v>
      </c>
      <c r="AX9" s="41" t="s">
        <v>116</v>
      </c>
      <c r="AY9" s="76">
        <f aca="true" t="shared" si="11" ref="AY9:BF9">+$F$31*AY10</f>
        <v>0</v>
      </c>
      <c r="AZ9" s="76">
        <f t="shared" si="11"/>
        <v>0</v>
      </c>
      <c r="BA9" s="76">
        <f t="shared" si="11"/>
        <v>0</v>
      </c>
      <c r="BB9" s="76">
        <f t="shared" si="11"/>
        <v>0</v>
      </c>
      <c r="BC9" s="76">
        <f t="shared" si="11"/>
        <v>0</v>
      </c>
      <c r="BD9" s="76">
        <f t="shared" si="11"/>
        <v>0</v>
      </c>
      <c r="BE9" s="76">
        <f t="shared" si="11"/>
        <v>0</v>
      </c>
      <c r="BF9" s="76">
        <f t="shared" si="11"/>
        <v>0</v>
      </c>
      <c r="BG9" s="287"/>
      <c r="BH9" s="34"/>
      <c r="BI9" s="41"/>
      <c r="BJ9" s="41" t="s">
        <v>642</v>
      </c>
      <c r="BK9" s="41" t="s">
        <v>631</v>
      </c>
      <c r="BL9" s="101">
        <v>1800000</v>
      </c>
      <c r="BM9" s="101">
        <f>BL9</f>
        <v>1800000</v>
      </c>
      <c r="BN9" s="101">
        <f>+BM9</f>
        <v>1800000</v>
      </c>
      <c r="BO9" s="34"/>
      <c r="BP9" s="34"/>
      <c r="BQ9" s="36"/>
      <c r="BR9" s="36"/>
      <c r="BS9" s="390"/>
      <c r="BT9" s="39"/>
      <c r="BU9" s="39"/>
      <c r="BV9" s="39"/>
      <c r="BW9" s="39"/>
      <c r="BX9" s="39"/>
      <c r="BY9" s="39"/>
      <c r="BZ9" s="39"/>
      <c r="CA9" s="39"/>
      <c r="CB9" s="64"/>
      <c r="CC9" s="34"/>
      <c r="CD9" s="105" t="s">
        <v>81</v>
      </c>
      <c r="CE9" s="60" t="s">
        <v>117</v>
      </c>
      <c r="CF9" s="472"/>
      <c r="CG9" s="50"/>
      <c r="CH9" s="50"/>
      <c r="CI9" s="50"/>
      <c r="CJ9" s="50"/>
      <c r="CK9" s="50"/>
      <c r="CL9" s="50"/>
      <c r="CM9" s="50"/>
      <c r="CN9" s="50"/>
      <c r="CO9" s="64"/>
      <c r="CP9" s="34"/>
      <c r="CQ9" s="34"/>
      <c r="CR9" s="41">
        <v>1</v>
      </c>
      <c r="CS9" s="41" t="s">
        <v>108</v>
      </c>
      <c r="CT9" s="76">
        <f>J9+K9+M9</f>
        <v>6.3</v>
      </c>
      <c r="CU9" s="76">
        <v>0</v>
      </c>
      <c r="CV9" s="76">
        <v>0</v>
      </c>
      <c r="CW9" s="34"/>
      <c r="CX9" s="44">
        <v>1</v>
      </c>
      <c r="CY9" s="43" t="s">
        <v>118</v>
      </c>
      <c r="CZ9" s="51">
        <f aca="true" t="shared" si="12" ref="CZ9:DG9">+AY18</f>
        <v>5.745018383437483</v>
      </c>
      <c r="DA9" s="51">
        <f t="shared" si="12"/>
        <v>6.962182279687495</v>
      </c>
      <c r="DB9" s="51">
        <f t="shared" si="12"/>
        <v>8.315300714624989</v>
      </c>
      <c r="DC9" s="51">
        <f t="shared" si="12"/>
        <v>8.922329814625007</v>
      </c>
      <c r="DD9" s="51">
        <f t="shared" si="12"/>
        <v>9.558768647125</v>
      </c>
      <c r="DE9" s="51">
        <f t="shared" si="12"/>
        <v>10.168147082750002</v>
      </c>
      <c r="DF9" s="51">
        <f t="shared" si="12"/>
        <v>10.851014299056256</v>
      </c>
      <c r="DG9" s="51">
        <f t="shared" si="12"/>
        <v>11.477965933467816</v>
      </c>
      <c r="DH9" s="64"/>
      <c r="DI9" s="34"/>
      <c r="DJ9" s="34"/>
      <c r="DK9" s="36" t="s">
        <v>119</v>
      </c>
      <c r="DL9" s="36"/>
      <c r="DM9" s="121">
        <v>0.1</v>
      </c>
      <c r="DN9" s="121">
        <v>0.15</v>
      </c>
      <c r="DO9" s="121">
        <v>0.15</v>
      </c>
      <c r="DP9" s="92" t="s">
        <v>120</v>
      </c>
      <c r="DQ9" s="34"/>
      <c r="DR9" s="34"/>
      <c r="DS9" s="41"/>
      <c r="DT9" s="41" t="s">
        <v>121</v>
      </c>
      <c r="DU9" s="50">
        <f>+DU8</f>
        <v>19.9</v>
      </c>
      <c r="DV9" s="50">
        <f>DU9*DV$6/4</f>
        <v>0.4477499999999999</v>
      </c>
      <c r="DW9" s="50">
        <f>DW8</f>
        <v>0</v>
      </c>
      <c r="DX9" s="50">
        <f t="shared" si="10"/>
        <v>19.9</v>
      </c>
      <c r="DY9" s="64"/>
      <c r="DZ9" s="41"/>
      <c r="EA9" s="41" t="s">
        <v>121</v>
      </c>
      <c r="EB9" s="50"/>
      <c r="EC9" s="50"/>
      <c r="ED9" s="50"/>
      <c r="EE9" s="50"/>
      <c r="EF9" s="64"/>
      <c r="EG9" s="64"/>
      <c r="EH9" s="64"/>
      <c r="EI9" s="34"/>
      <c r="EJ9" s="134" t="s">
        <v>123</v>
      </c>
      <c r="EK9" s="45" t="str">
        <f>+F58</f>
        <v>(Rs. in Crores)</v>
      </c>
      <c r="EL9" s="45" t="s">
        <v>124</v>
      </c>
      <c r="EM9" s="110" t="s">
        <v>125</v>
      </c>
      <c r="EN9" s="47" t="s">
        <v>126</v>
      </c>
      <c r="EO9" s="34"/>
      <c r="EP9" s="41"/>
      <c r="EQ9" s="50"/>
      <c r="ER9" s="50"/>
      <c r="ES9" s="50"/>
      <c r="ET9" s="50"/>
      <c r="EU9" s="50"/>
      <c r="EV9" s="50"/>
      <c r="EW9" s="50"/>
      <c r="EX9" s="50"/>
      <c r="EY9" s="64"/>
      <c r="EZ9" s="34"/>
      <c r="FA9" s="34"/>
      <c r="FB9" s="44" t="s">
        <v>127</v>
      </c>
      <c r="FC9" s="44" t="s">
        <v>128</v>
      </c>
      <c r="FD9" s="44" t="s">
        <v>129</v>
      </c>
      <c r="FE9" s="44" t="s">
        <v>130</v>
      </c>
      <c r="FF9" s="44" t="s">
        <v>131</v>
      </c>
      <c r="FG9" s="44"/>
      <c r="FH9" s="44"/>
      <c r="FI9" s="44"/>
      <c r="FJ9" s="44" t="s">
        <v>132</v>
      </c>
      <c r="FK9" s="293" t="s">
        <v>133</v>
      </c>
      <c r="FL9" s="293"/>
      <c r="FM9" s="34"/>
      <c r="FN9" s="294" t="s">
        <v>134</v>
      </c>
      <c r="FO9" s="44" t="s">
        <v>135</v>
      </c>
      <c r="FP9" s="44" t="s">
        <v>136</v>
      </c>
      <c r="FQ9" s="44" t="s">
        <v>137</v>
      </c>
      <c r="FR9" s="44" t="s">
        <v>92</v>
      </c>
      <c r="FS9" s="44" t="s">
        <v>138</v>
      </c>
      <c r="FT9" s="44" t="s">
        <v>139</v>
      </c>
      <c r="FU9" s="44" t="s">
        <v>140</v>
      </c>
      <c r="FV9" s="293" t="s">
        <v>141</v>
      </c>
      <c r="FW9" s="293" t="s">
        <v>42</v>
      </c>
      <c r="FX9" s="293" t="s">
        <v>142</v>
      </c>
      <c r="FY9" s="34"/>
      <c r="FZ9" s="45" t="s">
        <v>46</v>
      </c>
      <c r="GA9" s="45" t="s">
        <v>143</v>
      </c>
      <c r="GB9" s="45" t="s">
        <v>144</v>
      </c>
      <c r="GC9" s="45" t="s">
        <v>145</v>
      </c>
      <c r="GD9" s="45" t="s">
        <v>146</v>
      </c>
      <c r="GE9" s="45" t="str">
        <f>+GD9</f>
        <v>Sq.. Ft.</v>
      </c>
      <c r="GF9" s="43" t="s">
        <v>147</v>
      </c>
      <c r="GG9" s="45" t="s">
        <v>148</v>
      </c>
      <c r="GH9" s="45" t="s">
        <v>149</v>
      </c>
      <c r="GI9" s="45" t="s">
        <v>49</v>
      </c>
      <c r="GJ9" s="34"/>
      <c r="GK9" s="44" t="s">
        <v>31</v>
      </c>
      <c r="GL9" s="44" t="s">
        <v>150</v>
      </c>
      <c r="GM9" s="44" t="s">
        <v>151</v>
      </c>
      <c r="GN9" s="44" t="s">
        <v>152</v>
      </c>
      <c r="GO9" s="44" t="s">
        <v>153</v>
      </c>
      <c r="GP9" s="44" t="s">
        <v>154</v>
      </c>
      <c r="GQ9" s="44" t="s">
        <v>155</v>
      </c>
      <c r="GR9" s="44" t="s">
        <v>156</v>
      </c>
      <c r="GS9" s="44"/>
      <c r="GT9" s="44" t="s">
        <v>157</v>
      </c>
      <c r="GU9" s="44" t="s">
        <v>158</v>
      </c>
      <c r="GV9" s="44" t="s">
        <v>159</v>
      </c>
      <c r="GW9" s="34"/>
      <c r="GX9" s="34"/>
      <c r="GY9" s="41"/>
      <c r="GZ9" s="44" t="s">
        <v>160</v>
      </c>
      <c r="HA9" s="41"/>
      <c r="HB9" s="44" t="s">
        <v>101</v>
      </c>
      <c r="HC9" s="44" t="s">
        <v>102</v>
      </c>
      <c r="HD9" s="44" t="s">
        <v>103</v>
      </c>
      <c r="HE9" s="44" t="s">
        <v>104</v>
      </c>
      <c r="HF9" s="44"/>
      <c r="HG9" s="44"/>
      <c r="HH9" s="41"/>
      <c r="HI9" s="34"/>
      <c r="HJ9" s="43"/>
      <c r="HK9" s="41"/>
      <c r="HL9" s="41"/>
      <c r="HM9" s="42"/>
      <c r="HN9" s="34"/>
      <c r="HO9" s="34"/>
      <c r="HP9" s="44"/>
      <c r="HQ9" s="43"/>
      <c r="HR9" s="43"/>
      <c r="HS9" s="43"/>
      <c r="HT9" s="43"/>
      <c r="HU9" s="34"/>
      <c r="HV9" s="81"/>
      <c r="HW9" s="81"/>
      <c r="HX9" s="81">
        <v>2</v>
      </c>
      <c r="HY9" s="81" t="s">
        <v>162</v>
      </c>
      <c r="HZ9" s="84"/>
      <c r="IA9" s="291"/>
      <c r="IB9" s="81"/>
      <c r="IC9" s="81"/>
      <c r="ID9" s="81"/>
      <c r="IE9" s="81"/>
      <c r="IF9" s="81"/>
      <c r="IG9" s="81"/>
      <c r="IH9" s="81"/>
      <c r="II9" s="81"/>
      <c r="IJ9" s="81"/>
    </row>
    <row r="10" spans="1:244" s="233" customFormat="1" ht="16.5">
      <c r="A10" s="34"/>
      <c r="B10" s="384">
        <f>1+1</f>
        <v>2</v>
      </c>
      <c r="C10" s="42" t="str">
        <f>+C70</f>
        <v>Building &amp; Civil Work</v>
      </c>
      <c r="D10" s="73"/>
      <c r="E10" s="119"/>
      <c r="F10" s="385">
        <v>8</v>
      </c>
      <c r="G10" s="57"/>
      <c r="H10" s="41"/>
      <c r="I10" s="41"/>
      <c r="J10" s="50"/>
      <c r="K10" s="50"/>
      <c r="L10" s="94"/>
      <c r="M10" s="50"/>
      <c r="N10" s="41"/>
      <c r="O10" s="34"/>
      <c r="P10" s="36"/>
      <c r="Q10" s="36"/>
      <c r="R10" s="39"/>
      <c r="S10" s="295"/>
      <c r="T10" s="131"/>
      <c r="U10" s="39"/>
      <c r="V10" s="39"/>
      <c r="W10" s="131"/>
      <c r="X10" s="39"/>
      <c r="Y10" s="39"/>
      <c r="Z10" s="131"/>
      <c r="AA10" s="39"/>
      <c r="AB10" s="132"/>
      <c r="AC10" s="34"/>
      <c r="AD10" s="34"/>
      <c r="AE10" s="41"/>
      <c r="AF10" s="41"/>
      <c r="AG10" s="50"/>
      <c r="AH10" s="50"/>
      <c r="AI10" s="50"/>
      <c r="AJ10" s="34"/>
      <c r="AK10" s="34"/>
      <c r="AL10" s="41"/>
      <c r="AM10" s="41" t="s">
        <v>163</v>
      </c>
      <c r="AN10" s="63"/>
      <c r="AO10" s="63"/>
      <c r="AP10" s="63"/>
      <c r="AQ10" s="63"/>
      <c r="AR10" s="63"/>
      <c r="AS10" s="63"/>
      <c r="AT10" s="63"/>
      <c r="AU10" s="63"/>
      <c r="AV10" s="34"/>
      <c r="AW10" s="41"/>
      <c r="AX10" s="41" t="s">
        <v>164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0</v>
      </c>
      <c r="BG10" s="287"/>
      <c r="BH10" s="34"/>
      <c r="BI10" s="41"/>
      <c r="BJ10" s="41" t="s">
        <v>643</v>
      </c>
      <c r="BK10" s="41" t="s">
        <v>631</v>
      </c>
      <c r="BL10" s="102">
        <v>2100000</v>
      </c>
      <c r="BM10" s="102">
        <f>BL10</f>
        <v>2100000</v>
      </c>
      <c r="BN10" s="102">
        <f>BM10</f>
        <v>2100000</v>
      </c>
      <c r="BO10" s="34"/>
      <c r="BP10" s="34"/>
      <c r="BQ10" s="41"/>
      <c r="BR10" s="103" t="s">
        <v>117</v>
      </c>
      <c r="BS10" s="400"/>
      <c r="BT10" s="50"/>
      <c r="BU10" s="50"/>
      <c r="BV10" s="50"/>
      <c r="BW10" s="50"/>
      <c r="BX10" s="50"/>
      <c r="BY10" s="50"/>
      <c r="BZ10" s="50"/>
      <c r="CA10" s="50"/>
      <c r="CB10" s="64"/>
      <c r="CC10" s="34"/>
      <c r="CD10" s="41"/>
      <c r="CE10" s="41"/>
      <c r="CF10" s="473"/>
      <c r="CG10" s="50"/>
      <c r="CH10" s="50"/>
      <c r="CI10" s="50"/>
      <c r="CJ10" s="50"/>
      <c r="CK10" s="50"/>
      <c r="CL10" s="50"/>
      <c r="CM10" s="50"/>
      <c r="CN10" s="50"/>
      <c r="CO10" s="64"/>
      <c r="CP10" s="34"/>
      <c r="CQ10" s="34"/>
      <c r="CR10" s="41"/>
      <c r="CS10" s="41"/>
      <c r="CT10" s="41"/>
      <c r="CU10" s="111"/>
      <c r="CV10" s="41"/>
      <c r="CW10" s="34"/>
      <c r="CX10" s="44"/>
      <c r="CY10" s="43"/>
      <c r="CZ10" s="51"/>
      <c r="DA10" s="51"/>
      <c r="DB10" s="51"/>
      <c r="DC10" s="51"/>
      <c r="DD10" s="51"/>
      <c r="DE10" s="51"/>
      <c r="DF10" s="51"/>
      <c r="DG10" s="51"/>
      <c r="DH10" s="64"/>
      <c r="DI10" s="34"/>
      <c r="DJ10" s="34"/>
      <c r="DK10" s="37" t="s">
        <v>47</v>
      </c>
      <c r="DL10" s="38"/>
      <c r="DM10" s="39">
        <f>+CT11</f>
        <v>8.8</v>
      </c>
      <c r="DN10" s="39">
        <f>+CT13</f>
        <v>11</v>
      </c>
      <c r="DO10" s="39">
        <f>+CT15</f>
        <v>2.2</v>
      </c>
      <c r="DP10" s="39">
        <f>SUM(DM10:DO10)</f>
        <v>22</v>
      </c>
      <c r="DQ10" s="34"/>
      <c r="DR10" s="34"/>
      <c r="DS10" s="41"/>
      <c r="DT10" s="41" t="s">
        <v>166</v>
      </c>
      <c r="DU10" s="50">
        <f>+DX9</f>
        <v>19.9</v>
      </c>
      <c r="DV10" s="50">
        <f>DU10*DV$6/4</f>
        <v>0.4477499999999999</v>
      </c>
      <c r="DW10" s="50">
        <v>0</v>
      </c>
      <c r="DX10" s="50">
        <f t="shared" si="10"/>
        <v>19.9</v>
      </c>
      <c r="DY10" s="64"/>
      <c r="DZ10" s="41"/>
      <c r="EA10" s="41" t="s">
        <v>166</v>
      </c>
      <c r="EB10" s="50"/>
      <c r="EC10" s="50"/>
      <c r="ED10" s="50"/>
      <c r="EE10" s="50"/>
      <c r="EF10" s="404">
        <f>DW10/3</f>
        <v>0</v>
      </c>
      <c r="EG10" s="64"/>
      <c r="EH10" s="64"/>
      <c r="EI10" s="34"/>
      <c r="EJ10" s="36"/>
      <c r="EK10" s="36"/>
      <c r="EL10" s="36"/>
      <c r="EM10" s="36"/>
      <c r="EN10" s="43"/>
      <c r="EO10" s="34"/>
      <c r="EP10" s="41" t="s">
        <v>167</v>
      </c>
      <c r="EQ10" s="50">
        <f aca="true" t="shared" si="13" ref="EQ10:EX10">+AN37</f>
        <v>1.5699999999999998</v>
      </c>
      <c r="ER10" s="50">
        <f t="shared" si="13"/>
        <v>1.4914999999999998</v>
      </c>
      <c r="ES10" s="50">
        <f t="shared" si="13"/>
        <v>1.4169249999999998</v>
      </c>
      <c r="ET10" s="50">
        <f t="shared" si="13"/>
        <v>1.3460787499999998</v>
      </c>
      <c r="EU10" s="50">
        <f t="shared" si="13"/>
        <v>1.2787748124999998</v>
      </c>
      <c r="EV10" s="50">
        <f t="shared" si="13"/>
        <v>1.2148360718749998</v>
      </c>
      <c r="EW10" s="50">
        <f t="shared" si="13"/>
        <v>1.1540942682812496</v>
      </c>
      <c r="EX10" s="50">
        <f t="shared" si="13"/>
        <v>1.0963895548671871</v>
      </c>
      <c r="EY10" s="64"/>
      <c r="EZ10" s="34"/>
      <c r="FA10" s="34"/>
      <c r="FB10" s="44" t="s">
        <v>168</v>
      </c>
      <c r="FC10" s="44" t="s">
        <v>169</v>
      </c>
      <c r="FD10" s="44" t="s">
        <v>170</v>
      </c>
      <c r="FE10" s="44" t="s">
        <v>171</v>
      </c>
      <c r="FF10" s="44" t="s">
        <v>51</v>
      </c>
      <c r="FG10" s="44" t="s">
        <v>42</v>
      </c>
      <c r="FH10" s="44" t="s">
        <v>140</v>
      </c>
      <c r="FI10" s="44" t="s">
        <v>172</v>
      </c>
      <c r="FJ10" s="44" t="s">
        <v>173</v>
      </c>
      <c r="FK10" s="293" t="s">
        <v>174</v>
      </c>
      <c r="FL10" s="293" t="s">
        <v>175</v>
      </c>
      <c r="FM10" s="34"/>
      <c r="FN10" s="296" t="s">
        <v>73</v>
      </c>
      <c r="FO10" s="48" t="s">
        <v>176</v>
      </c>
      <c r="FP10" s="48" t="s">
        <v>177</v>
      </c>
      <c r="FQ10" s="48" t="s">
        <v>178</v>
      </c>
      <c r="FR10" s="48" t="s">
        <v>87</v>
      </c>
      <c r="FS10" s="48" t="s">
        <v>179</v>
      </c>
      <c r="FT10" s="48" t="s">
        <v>180</v>
      </c>
      <c r="FU10" s="48" t="s">
        <v>181</v>
      </c>
      <c r="FV10" s="234" t="s">
        <v>182</v>
      </c>
      <c r="FW10" s="234" t="s">
        <v>183</v>
      </c>
      <c r="FX10" s="234" t="s">
        <v>184</v>
      </c>
      <c r="FY10" s="34"/>
      <c r="FZ10" s="36"/>
      <c r="GA10" s="36"/>
      <c r="GB10" s="36"/>
      <c r="GC10" s="40"/>
      <c r="GD10" s="36"/>
      <c r="GE10" s="36"/>
      <c r="GF10" s="36"/>
      <c r="GG10" s="41"/>
      <c r="GH10" s="41"/>
      <c r="GI10" s="41"/>
      <c r="GJ10" s="34"/>
      <c r="GK10" s="48" t="s">
        <v>46</v>
      </c>
      <c r="GL10" s="48" t="s">
        <v>185</v>
      </c>
      <c r="GM10" s="48" t="s">
        <v>186</v>
      </c>
      <c r="GN10" s="48" t="s">
        <v>187</v>
      </c>
      <c r="GO10" s="48" t="s">
        <v>188</v>
      </c>
      <c r="GP10" s="48" t="s">
        <v>189</v>
      </c>
      <c r="GQ10" s="48" t="s">
        <v>190</v>
      </c>
      <c r="GR10" s="48" t="s">
        <v>191</v>
      </c>
      <c r="GS10" s="48" t="s">
        <v>192</v>
      </c>
      <c r="GT10" s="48" t="s">
        <v>193</v>
      </c>
      <c r="GU10" s="48" t="s">
        <v>194</v>
      </c>
      <c r="GV10" s="48" t="s">
        <v>195</v>
      </c>
      <c r="GW10" s="34"/>
      <c r="GX10" s="34"/>
      <c r="GY10" s="44" t="s">
        <v>37</v>
      </c>
      <c r="GZ10" s="44" t="s">
        <v>196</v>
      </c>
      <c r="HA10" s="41"/>
      <c r="HB10" s="44" t="s">
        <v>151</v>
      </c>
      <c r="HC10" s="44" t="s">
        <v>153</v>
      </c>
      <c r="HD10" s="44" t="s">
        <v>154</v>
      </c>
      <c r="HE10" s="44" t="s">
        <v>155</v>
      </c>
      <c r="HF10" s="44"/>
      <c r="HG10" s="44" t="s">
        <v>157</v>
      </c>
      <c r="HH10" s="41"/>
      <c r="HI10" s="34"/>
      <c r="HJ10" s="43">
        <v>1</v>
      </c>
      <c r="HK10" s="41" t="s">
        <v>161</v>
      </c>
      <c r="HL10" s="41"/>
      <c r="HM10" s="58">
        <f>+AP27</f>
        <v>172.8</v>
      </c>
      <c r="HN10" s="34"/>
      <c r="HO10" s="34"/>
      <c r="HP10" s="105">
        <v>1</v>
      </c>
      <c r="HQ10" s="68" t="s">
        <v>161</v>
      </c>
      <c r="HR10" s="137">
        <f>+AN27</f>
        <v>129.6</v>
      </c>
      <c r="HS10" s="137">
        <f>AO27</f>
        <v>151.2</v>
      </c>
      <c r="HT10" s="137">
        <f>AP27</f>
        <v>172.8</v>
      </c>
      <c r="HU10" s="34"/>
      <c r="HV10" s="81"/>
      <c r="HW10" s="81"/>
      <c r="HX10" s="81">
        <v>3</v>
      </c>
      <c r="HY10" s="81" t="s">
        <v>197</v>
      </c>
      <c r="HZ10" s="84"/>
      <c r="IA10" s="84"/>
      <c r="IB10" s="81"/>
      <c r="IC10" s="81"/>
      <c r="ID10" s="81"/>
      <c r="IE10" s="81"/>
      <c r="IF10" s="81"/>
      <c r="IG10" s="81"/>
      <c r="IH10" s="81"/>
      <c r="II10" s="81"/>
      <c r="IJ10" s="81"/>
    </row>
    <row r="11" spans="1:244" s="233" customFormat="1" ht="16.5">
      <c r="A11" s="34"/>
      <c r="B11" s="384"/>
      <c r="C11" s="42"/>
      <c r="D11" s="73"/>
      <c r="E11" s="119"/>
      <c r="F11" s="385"/>
      <c r="G11" s="57"/>
      <c r="H11" s="41">
        <v>2</v>
      </c>
      <c r="I11" s="41" t="s">
        <v>267</v>
      </c>
      <c r="J11" s="76">
        <v>0</v>
      </c>
      <c r="K11" s="50">
        <f>F10</f>
        <v>8</v>
      </c>
      <c r="L11" s="93">
        <v>0.1</v>
      </c>
      <c r="M11" s="50">
        <f>K11*L11</f>
        <v>0.8</v>
      </c>
      <c r="N11" s="41"/>
      <c r="O11" s="34"/>
      <c r="P11" s="41">
        <v>1</v>
      </c>
      <c r="Q11" s="41" t="s">
        <v>199</v>
      </c>
      <c r="R11" s="50"/>
      <c r="S11" s="99"/>
      <c r="T11" s="115"/>
      <c r="U11" s="50"/>
      <c r="V11" s="50"/>
      <c r="W11" s="115"/>
      <c r="X11" s="50"/>
      <c r="Y11" s="50"/>
      <c r="Z11" s="115"/>
      <c r="AA11" s="50"/>
      <c r="AB11" s="127"/>
      <c r="AC11" s="34"/>
      <c r="AD11" s="34"/>
      <c r="AE11" s="41"/>
      <c r="AF11" s="41" t="s">
        <v>566</v>
      </c>
      <c r="AG11" s="50"/>
      <c r="AH11" s="50"/>
      <c r="AI11" s="50"/>
      <c r="AJ11" s="34"/>
      <c r="AK11" s="34"/>
      <c r="AL11" s="41"/>
      <c r="AM11" s="41"/>
      <c r="AN11" s="50"/>
      <c r="AO11" s="50"/>
      <c r="AP11" s="50"/>
      <c r="AQ11" s="50"/>
      <c r="AR11" s="50"/>
      <c r="AS11" s="50"/>
      <c r="AT11" s="50"/>
      <c r="AU11" s="50"/>
      <c r="AV11" s="34"/>
      <c r="AW11" s="41"/>
      <c r="AX11" s="41"/>
      <c r="AY11" s="50"/>
      <c r="AZ11" s="50"/>
      <c r="BA11" s="50"/>
      <c r="BB11" s="50"/>
      <c r="BC11" s="50"/>
      <c r="BD11" s="50"/>
      <c r="BE11" s="50"/>
      <c r="BF11" s="50"/>
      <c r="BG11" s="64"/>
      <c r="BH11" s="34"/>
      <c r="BI11" s="41"/>
      <c r="BJ11" s="41"/>
      <c r="BK11" s="41"/>
      <c r="BL11" s="102"/>
      <c r="BM11" s="102"/>
      <c r="BN11" s="102"/>
      <c r="BO11" s="34"/>
      <c r="BP11" s="34"/>
      <c r="BQ11" s="41"/>
      <c r="BR11" s="41"/>
      <c r="BS11" s="396"/>
      <c r="BT11" s="50"/>
      <c r="BU11" s="50"/>
      <c r="BV11" s="50"/>
      <c r="BW11" s="50"/>
      <c r="BX11" s="50"/>
      <c r="BY11" s="50"/>
      <c r="BZ11" s="50"/>
      <c r="CA11" s="50"/>
      <c r="CB11" s="64"/>
      <c r="CC11" s="34"/>
      <c r="CD11" s="41">
        <v>1</v>
      </c>
      <c r="CE11" s="41" t="s">
        <v>249</v>
      </c>
      <c r="CF11" s="473"/>
      <c r="CG11" s="50">
        <f>BT12</f>
        <v>19.201359375000003</v>
      </c>
      <c r="CH11" s="50">
        <f>+CG11</f>
        <v>19.201359375000003</v>
      </c>
      <c r="CI11" s="50">
        <f aca="true" t="shared" si="14" ref="CI11:CN11">+CH11</f>
        <v>19.201359375000003</v>
      </c>
      <c r="CJ11" s="50">
        <f t="shared" si="14"/>
        <v>19.201359375000003</v>
      </c>
      <c r="CK11" s="50">
        <f t="shared" si="14"/>
        <v>19.201359375000003</v>
      </c>
      <c r="CL11" s="50">
        <f t="shared" si="14"/>
        <v>19.201359375000003</v>
      </c>
      <c r="CM11" s="50">
        <f t="shared" si="14"/>
        <v>19.201359375000003</v>
      </c>
      <c r="CN11" s="50">
        <f t="shared" si="14"/>
        <v>19.201359375000003</v>
      </c>
      <c r="CO11" s="64"/>
      <c r="CP11" s="34"/>
      <c r="CQ11" s="34"/>
      <c r="CR11" s="41">
        <f>+CR9+1</f>
        <v>2</v>
      </c>
      <c r="CS11" s="41" t="s">
        <v>78</v>
      </c>
      <c r="CT11" s="50">
        <f>K11+J11+M11</f>
        <v>8.8</v>
      </c>
      <c r="CU11" s="111">
        <v>0.0334</v>
      </c>
      <c r="CV11" s="41">
        <f>ROUND(CT11*CU11,2)</f>
        <v>0.29</v>
      </c>
      <c r="CW11" s="34"/>
      <c r="CX11" s="44">
        <f>+CX9+1</f>
        <v>2</v>
      </c>
      <c r="CY11" s="43" t="s">
        <v>641</v>
      </c>
      <c r="CZ11" s="51">
        <f aca="true" t="shared" si="15" ref="CZ11:DG11">+AN34</f>
        <v>1.7909999999999997</v>
      </c>
      <c r="DA11" s="51">
        <f t="shared" si="15"/>
        <v>1.6790625</v>
      </c>
      <c r="DB11" s="51">
        <f t="shared" si="15"/>
        <v>1.3805625000000001</v>
      </c>
      <c r="DC11" s="51">
        <f t="shared" si="15"/>
        <v>1.0820625000000006</v>
      </c>
      <c r="DD11" s="51">
        <f t="shared" si="15"/>
        <v>0.7835625000000009</v>
      </c>
      <c r="DE11" s="51">
        <f t="shared" si="15"/>
        <v>0.485062500000001</v>
      </c>
      <c r="DF11" s="51">
        <f t="shared" si="15"/>
        <v>0.18656250000000113</v>
      </c>
      <c r="DG11" s="51">
        <f t="shared" si="15"/>
        <v>0</v>
      </c>
      <c r="DH11" s="64"/>
      <c r="DI11" s="34"/>
      <c r="DJ11" s="34"/>
      <c r="DK11" s="122" t="s">
        <v>202</v>
      </c>
      <c r="DL11" s="43" t="str">
        <f>+CG7</f>
        <v>2022-23</v>
      </c>
      <c r="DM11" s="50">
        <f>ROUND(DM10*DM$9,2)</f>
        <v>0.88</v>
      </c>
      <c r="DN11" s="50">
        <f>ROUND(DN10*$DN$9,2)</f>
        <v>1.65</v>
      </c>
      <c r="DO11" s="50">
        <f>ROUND(DO10*$DO$9,2)</f>
        <v>0.33</v>
      </c>
      <c r="DP11" s="486">
        <f>SUM(DM11:DO11)</f>
        <v>2.86</v>
      </c>
      <c r="DQ11" s="34"/>
      <c r="DR11" s="34"/>
      <c r="DS11" s="41"/>
      <c r="DT11" s="41" t="s">
        <v>203</v>
      </c>
      <c r="DU11" s="50">
        <f>DX10</f>
        <v>19.9</v>
      </c>
      <c r="DV11" s="50">
        <f>DU11*DV$6/4</f>
        <v>0.4477499999999999</v>
      </c>
      <c r="DW11" s="50">
        <f>+DW10</f>
        <v>0</v>
      </c>
      <c r="DX11" s="50">
        <f t="shared" si="10"/>
        <v>19.9</v>
      </c>
      <c r="DY11" s="64"/>
      <c r="DZ11" s="41"/>
      <c r="EA11" s="41" t="s">
        <v>203</v>
      </c>
      <c r="EB11" s="50"/>
      <c r="EC11" s="50"/>
      <c r="ED11" s="50"/>
      <c r="EE11" s="50"/>
      <c r="EF11" s="64"/>
      <c r="EG11" s="64"/>
      <c r="EH11" s="64"/>
      <c r="EI11" s="34"/>
      <c r="EJ11" s="41"/>
      <c r="EK11" s="41"/>
      <c r="EL11" s="41"/>
      <c r="EM11" s="41"/>
      <c r="EN11" s="43"/>
      <c r="EO11" s="34"/>
      <c r="EP11" s="41" t="s">
        <v>205</v>
      </c>
      <c r="EQ11" s="50"/>
      <c r="ER11" s="50"/>
      <c r="ES11" s="50"/>
      <c r="ET11" s="50"/>
      <c r="EU11" s="50"/>
      <c r="EV11" s="50"/>
      <c r="EW11" s="50"/>
      <c r="EX11" s="50"/>
      <c r="EY11" s="64"/>
      <c r="EZ11" s="34"/>
      <c r="FA11" s="34"/>
      <c r="FB11" s="48" t="s">
        <v>206</v>
      </c>
      <c r="FC11" s="48" t="s">
        <v>207</v>
      </c>
      <c r="FD11" s="48" t="s">
        <v>208</v>
      </c>
      <c r="FE11" s="48" t="s">
        <v>209</v>
      </c>
      <c r="FF11" s="48" t="s">
        <v>210</v>
      </c>
      <c r="FG11" s="48" t="s">
        <v>211</v>
      </c>
      <c r="FH11" s="48" t="s">
        <v>181</v>
      </c>
      <c r="FI11" s="48" t="s">
        <v>212</v>
      </c>
      <c r="FJ11" s="48" t="s">
        <v>213</v>
      </c>
      <c r="FK11" s="234" t="s">
        <v>128</v>
      </c>
      <c r="FL11" s="234" t="s">
        <v>214</v>
      </c>
      <c r="FM11" s="34"/>
      <c r="FN11" s="41"/>
      <c r="FO11" s="43"/>
      <c r="FP11" s="43"/>
      <c r="FQ11" s="43"/>
      <c r="FR11" s="43"/>
      <c r="FS11" s="297"/>
      <c r="FT11" s="43"/>
      <c r="FU11" s="298"/>
      <c r="FV11" s="43"/>
      <c r="FW11" s="43"/>
      <c r="FX11" s="43"/>
      <c r="FY11" s="34"/>
      <c r="FZ11" s="41">
        <v>1</v>
      </c>
      <c r="GA11" s="41"/>
      <c r="GB11" s="41" t="s">
        <v>215</v>
      </c>
      <c r="GC11" s="44" t="s">
        <v>0</v>
      </c>
      <c r="GD11" s="41">
        <v>600</v>
      </c>
      <c r="GE11" s="41">
        <v>3500</v>
      </c>
      <c r="GF11" s="50">
        <f>GD11*GE11/100000</f>
        <v>21</v>
      </c>
      <c r="GG11" s="50"/>
      <c r="GH11" s="50"/>
      <c r="GI11" s="50"/>
      <c r="GJ11" s="34"/>
      <c r="GK11" s="36" t="s">
        <v>216</v>
      </c>
      <c r="GL11" s="38" t="s">
        <v>217</v>
      </c>
      <c r="GM11" s="118"/>
      <c r="GN11" s="118"/>
      <c r="GO11" s="118"/>
      <c r="GP11" s="118"/>
      <c r="GQ11" s="118"/>
      <c r="GR11" s="118"/>
      <c r="GS11" s="118"/>
      <c r="GT11" s="118"/>
      <c r="GU11" s="118"/>
      <c r="GV11" s="38"/>
      <c r="GW11" s="34"/>
      <c r="GX11" s="34"/>
      <c r="GY11" s="48" t="s">
        <v>46</v>
      </c>
      <c r="GZ11" s="48" t="s">
        <v>218</v>
      </c>
      <c r="HA11" s="45" t="s">
        <v>219</v>
      </c>
      <c r="HB11" s="48" t="s">
        <v>186</v>
      </c>
      <c r="HC11" s="48" t="s">
        <v>188</v>
      </c>
      <c r="HD11" s="48" t="s">
        <v>189</v>
      </c>
      <c r="HE11" s="48" t="s">
        <v>190</v>
      </c>
      <c r="HF11" s="48" t="s">
        <v>220</v>
      </c>
      <c r="HG11" s="48" t="s">
        <v>193</v>
      </c>
      <c r="HH11" s="45" t="s">
        <v>49</v>
      </c>
      <c r="HI11" s="34"/>
      <c r="HJ11" s="43"/>
      <c r="HK11" s="41"/>
      <c r="HL11" s="41"/>
      <c r="HM11" s="42"/>
      <c r="HN11" s="34"/>
      <c r="HO11" s="34"/>
      <c r="HP11" s="105" t="s">
        <v>222</v>
      </c>
      <c r="HQ11" s="68"/>
      <c r="HR11" s="68"/>
      <c r="HS11" s="68"/>
      <c r="HT11" s="68"/>
      <c r="HU11" s="34"/>
      <c r="HV11" s="81"/>
      <c r="HW11" s="81"/>
      <c r="HX11" s="81">
        <v>4</v>
      </c>
      <c r="HY11" s="81" t="s">
        <v>223</v>
      </c>
      <c r="HZ11" s="84"/>
      <c r="IA11" s="84"/>
      <c r="IB11" s="81"/>
      <c r="IC11" s="81"/>
      <c r="ID11" s="81"/>
      <c r="IE11" s="81"/>
      <c r="IF11" s="81"/>
      <c r="IG11" s="81"/>
      <c r="IH11" s="81"/>
      <c r="II11" s="81"/>
      <c r="IJ11" s="81"/>
    </row>
    <row r="12" spans="1:244" s="233" customFormat="1" ht="16.5">
      <c r="A12" s="34"/>
      <c r="B12" s="384">
        <f>+B10+1</f>
        <v>3</v>
      </c>
      <c r="C12" s="58" t="str">
        <f>+C82</f>
        <v>Plant &amp; Machinery</v>
      </c>
      <c r="D12" s="73"/>
      <c r="E12" s="119"/>
      <c r="F12" s="385">
        <v>10</v>
      </c>
      <c r="G12" s="57"/>
      <c r="H12" s="41"/>
      <c r="I12" s="41"/>
      <c r="J12" s="50"/>
      <c r="K12" s="50"/>
      <c r="L12" s="95"/>
      <c r="M12" s="50"/>
      <c r="N12" s="41"/>
      <c r="O12" s="34"/>
      <c r="P12" s="41"/>
      <c r="Q12" s="41" t="s">
        <v>225</v>
      </c>
      <c r="R12" s="50">
        <v>1</v>
      </c>
      <c r="S12" s="99">
        <v>0.25</v>
      </c>
      <c r="T12" s="115">
        <f>AG$12*$R12/12</f>
        <v>7.875</v>
      </c>
      <c r="U12" s="50">
        <f>+T12-V12</f>
        <v>5.90625</v>
      </c>
      <c r="V12" s="50">
        <f>T12*$S12</f>
        <v>1.96875</v>
      </c>
      <c r="W12" s="115">
        <f>AH$12*$R12/12</f>
        <v>9.1875</v>
      </c>
      <c r="X12" s="50">
        <f>+W12-Y12</f>
        <v>6.890625</v>
      </c>
      <c r="Y12" s="50">
        <f>W12*$S12</f>
        <v>2.296875</v>
      </c>
      <c r="Z12" s="115">
        <f>AI$12*$R12/12</f>
        <v>10.5</v>
      </c>
      <c r="AA12" s="50">
        <f>+Z12-AB12</f>
        <v>7.875</v>
      </c>
      <c r="AB12" s="127">
        <f>Z12*$S12</f>
        <v>2.625</v>
      </c>
      <c r="AC12" s="34"/>
      <c r="AD12" s="275"/>
      <c r="AE12" s="41"/>
      <c r="AF12" s="41" t="s">
        <v>639</v>
      </c>
      <c r="AG12" s="50">
        <f>((BL25*350)+(BL26*450))/10000000</f>
        <v>94.5</v>
      </c>
      <c r="AH12" s="50">
        <f>((BM25*350)+(BM26*450))/10000000</f>
        <v>110.25</v>
      </c>
      <c r="AI12" s="50">
        <f>((BN25*350)+(BN26*450))/10000000</f>
        <v>126</v>
      </c>
      <c r="AJ12" s="260"/>
      <c r="AK12" s="34"/>
      <c r="AL12" s="41" t="s">
        <v>227</v>
      </c>
      <c r="AM12" s="60" t="s">
        <v>228</v>
      </c>
      <c r="AN12" s="50"/>
      <c r="AO12" s="50"/>
      <c r="AP12" s="50"/>
      <c r="AQ12" s="50"/>
      <c r="AR12" s="50"/>
      <c r="AS12" s="50"/>
      <c r="AT12" s="50"/>
      <c r="AU12" s="50"/>
      <c r="AV12" s="34"/>
      <c r="AW12" s="41" t="s">
        <v>229</v>
      </c>
      <c r="AX12" s="41" t="s">
        <v>230</v>
      </c>
      <c r="AY12" s="39">
        <f aca="true" t="shared" si="16" ref="AY12:BF12">+AY7-AY9</f>
        <v>3.975018383437483</v>
      </c>
      <c r="AZ12" s="39">
        <f t="shared" si="16"/>
        <v>5.270682279687495</v>
      </c>
      <c r="BA12" s="39">
        <f t="shared" si="16"/>
        <v>6.698375714624989</v>
      </c>
      <c r="BB12" s="39">
        <f t="shared" si="16"/>
        <v>7.3762510646250075</v>
      </c>
      <c r="BC12" s="39">
        <f t="shared" si="16"/>
        <v>8.079993834625</v>
      </c>
      <c r="BD12" s="39">
        <f t="shared" si="16"/>
        <v>8.953311010875002</v>
      </c>
      <c r="BE12" s="39">
        <f t="shared" si="16"/>
        <v>9.696920030775006</v>
      </c>
      <c r="BF12" s="39">
        <f t="shared" si="16"/>
        <v>10.381576378600629</v>
      </c>
      <c r="BG12" s="64"/>
      <c r="BH12" s="34"/>
      <c r="BI12" s="41"/>
      <c r="BJ12" s="41"/>
      <c r="BK12" s="41"/>
      <c r="BL12" s="43"/>
      <c r="BM12" s="43"/>
      <c r="BN12" s="43"/>
      <c r="BO12" s="34"/>
      <c r="BP12" s="34"/>
      <c r="BQ12" s="41">
        <v>1</v>
      </c>
      <c r="BR12" s="41" t="s">
        <v>249</v>
      </c>
      <c r="BS12" s="399"/>
      <c r="BT12" s="76">
        <f>F31</f>
        <v>19.201359375000003</v>
      </c>
      <c r="BU12" s="76">
        <v>0</v>
      </c>
      <c r="BV12" s="76">
        <v>0</v>
      </c>
      <c r="BW12" s="76">
        <v>0</v>
      </c>
      <c r="BX12" s="76">
        <v>0</v>
      </c>
      <c r="BY12" s="76">
        <v>0</v>
      </c>
      <c r="BZ12" s="76">
        <v>0</v>
      </c>
      <c r="CA12" s="76">
        <v>0</v>
      </c>
      <c r="CB12" s="64"/>
      <c r="CC12" s="34"/>
      <c r="CD12" s="41">
        <v>2</v>
      </c>
      <c r="CE12" s="41" t="s">
        <v>611</v>
      </c>
      <c r="CF12" s="474">
        <f>BS14</f>
        <v>0</v>
      </c>
      <c r="CG12" s="50">
        <f>BT14</f>
        <v>5</v>
      </c>
      <c r="CH12" s="50">
        <f>CG12</f>
        <v>5</v>
      </c>
      <c r="CI12" s="50">
        <f aca="true" t="shared" si="17" ref="CI12:CN12">+CH12</f>
        <v>5</v>
      </c>
      <c r="CJ12" s="50">
        <f t="shared" si="17"/>
        <v>5</v>
      </c>
      <c r="CK12" s="50">
        <f t="shared" si="17"/>
        <v>5</v>
      </c>
      <c r="CL12" s="50">
        <f t="shared" si="17"/>
        <v>5</v>
      </c>
      <c r="CM12" s="50">
        <f t="shared" si="17"/>
        <v>5</v>
      </c>
      <c r="CN12" s="50">
        <f t="shared" si="17"/>
        <v>5</v>
      </c>
      <c r="CO12" s="64"/>
      <c r="CP12" s="34"/>
      <c r="CQ12" s="34"/>
      <c r="CR12" s="41"/>
      <c r="CS12" s="41"/>
      <c r="CT12" s="41"/>
      <c r="CU12" s="111"/>
      <c r="CV12" s="41"/>
      <c r="CW12" s="34"/>
      <c r="CX12" s="44"/>
      <c r="CY12" s="43"/>
      <c r="CZ12" s="51"/>
      <c r="DA12" s="51"/>
      <c r="DB12" s="51"/>
      <c r="DC12" s="51"/>
      <c r="DD12" s="51"/>
      <c r="DE12" s="51"/>
      <c r="DF12" s="51"/>
      <c r="DG12" s="51"/>
      <c r="DH12" s="64"/>
      <c r="DI12" s="34"/>
      <c r="DJ12" s="34"/>
      <c r="DK12" s="42" t="s">
        <v>231</v>
      </c>
      <c r="DL12" s="43"/>
      <c r="DM12" s="39">
        <f>+DM10-DM11</f>
        <v>7.920000000000001</v>
      </c>
      <c r="DN12" s="39">
        <f>+DN10-DN11</f>
        <v>9.35</v>
      </c>
      <c r="DO12" s="39">
        <f>+DO10-DO11</f>
        <v>1.87</v>
      </c>
      <c r="DP12" s="39">
        <f>+DP10-DP11</f>
        <v>19.14</v>
      </c>
      <c r="DQ12" s="34"/>
      <c r="DR12" s="34"/>
      <c r="DS12" s="41"/>
      <c r="DT12" s="41"/>
      <c r="DU12" s="50"/>
      <c r="DV12" s="489">
        <f>SUM(DV8:DV11)</f>
        <v>1.7909999999999997</v>
      </c>
      <c r="DW12" s="489">
        <f>SUM(DW8:DW11)</f>
        <v>0</v>
      </c>
      <c r="DX12" s="50"/>
      <c r="DY12" s="64"/>
      <c r="DZ12" s="41"/>
      <c r="EA12" s="41"/>
      <c r="EB12" s="50"/>
      <c r="EC12" s="108"/>
      <c r="ED12" s="108"/>
      <c r="EE12" s="50"/>
      <c r="EF12" s="64"/>
      <c r="EG12" s="64"/>
      <c r="EH12" s="64"/>
      <c r="EI12" s="34"/>
      <c r="EJ12" s="41"/>
      <c r="EK12" s="41"/>
      <c r="EL12" s="41"/>
      <c r="EM12" s="41"/>
      <c r="EN12" s="43"/>
      <c r="EO12" s="34"/>
      <c r="EP12" s="41"/>
      <c r="EQ12" s="39">
        <f aca="true" t="shared" si="18" ref="EQ12:EX12">+EQ7+EQ10</f>
        <v>6.476186374999976</v>
      </c>
      <c r="ER12" s="39">
        <f t="shared" si="18"/>
        <v>8.250716874999993</v>
      </c>
      <c r="ES12" s="39">
        <f t="shared" si="18"/>
        <v>10.187543049999984</v>
      </c>
      <c r="ET12" s="39">
        <f t="shared" si="18"/>
        <v>11.105663050000011</v>
      </c>
      <c r="EU12" s="39">
        <f t="shared" si="18"/>
        <v>12.046052050000002</v>
      </c>
      <c r="EV12" s="39">
        <f t="shared" si="18"/>
        <v>13.208952300000002</v>
      </c>
      <c r="EW12" s="39">
        <f t="shared" si="18"/>
        <v>14.194531042500008</v>
      </c>
      <c r="EX12" s="39">
        <f t="shared" si="18"/>
        <v>15.090930550125005</v>
      </c>
      <c r="EY12" s="64"/>
      <c r="EZ12" s="34"/>
      <c r="FA12" s="34"/>
      <c r="FB12" s="42"/>
      <c r="FC12" s="264"/>
      <c r="FD12" s="264"/>
      <c r="FE12" s="264"/>
      <c r="FF12" s="264"/>
      <c r="FG12" s="264"/>
      <c r="FH12" s="264"/>
      <c r="FI12" s="264"/>
      <c r="FJ12" s="264"/>
      <c r="FK12" s="264"/>
      <c r="FL12" s="43"/>
      <c r="FM12" s="34"/>
      <c r="FN12" s="41"/>
      <c r="FO12" s="43" t="s">
        <v>0</v>
      </c>
      <c r="FP12" s="43"/>
      <c r="FQ12" s="43"/>
      <c r="FR12" s="43"/>
      <c r="FS12" s="297"/>
      <c r="FT12" s="43"/>
      <c r="FU12" s="297"/>
      <c r="FV12" s="43"/>
      <c r="FW12" s="43"/>
      <c r="FX12" s="43"/>
      <c r="FY12" s="34"/>
      <c r="FZ12" s="41"/>
      <c r="GA12" s="41"/>
      <c r="GB12" s="41" t="s">
        <v>0</v>
      </c>
      <c r="GC12" s="44"/>
      <c r="GD12" s="41"/>
      <c r="GE12" s="41"/>
      <c r="GF12" s="50"/>
      <c r="GG12" s="50"/>
      <c r="GH12" s="50"/>
      <c r="GI12" s="50"/>
      <c r="GJ12" s="34"/>
      <c r="GK12" s="41">
        <v>1</v>
      </c>
      <c r="GL12" s="43" t="s">
        <v>232</v>
      </c>
      <c r="GM12" s="57"/>
      <c r="GN12" s="57"/>
      <c r="GO12" s="57" t="s">
        <v>233</v>
      </c>
      <c r="GP12" s="57"/>
      <c r="GQ12" s="57"/>
      <c r="GR12" s="57"/>
      <c r="GS12" s="57"/>
      <c r="GT12" s="57"/>
      <c r="GU12" s="57"/>
      <c r="GV12" s="43"/>
      <c r="GW12" s="34"/>
      <c r="GX12" s="34"/>
      <c r="GY12" s="41"/>
      <c r="GZ12" s="41"/>
      <c r="HA12" s="36"/>
      <c r="HB12" s="36"/>
      <c r="HC12" s="36"/>
      <c r="HD12" s="36"/>
      <c r="HE12" s="43"/>
      <c r="HF12" s="43"/>
      <c r="HG12" s="43"/>
      <c r="HH12" s="43"/>
      <c r="HI12" s="34"/>
      <c r="HJ12" s="43">
        <v>2</v>
      </c>
      <c r="HK12" s="41" t="s">
        <v>221</v>
      </c>
      <c r="HL12" s="50"/>
      <c r="HM12" s="42"/>
      <c r="HN12" s="34"/>
      <c r="HO12" s="34"/>
      <c r="HP12" s="105">
        <v>2</v>
      </c>
      <c r="HQ12" s="68" t="s">
        <v>234</v>
      </c>
      <c r="HR12" s="137">
        <f>+AN29</f>
        <v>10.232999999999976</v>
      </c>
      <c r="HS12" s="137">
        <f>+AO29</f>
        <v>12.200999999999993</v>
      </c>
      <c r="HT12" s="137">
        <f>+AP29</f>
        <v>14.134799999999984</v>
      </c>
      <c r="HU12" s="34"/>
      <c r="HV12" s="81"/>
      <c r="HW12" s="81"/>
      <c r="HX12" s="81">
        <v>5</v>
      </c>
      <c r="HY12" s="81" t="s">
        <v>235</v>
      </c>
      <c r="HZ12" s="84"/>
      <c r="IA12" s="84"/>
      <c r="IB12" s="81"/>
      <c r="IC12" s="81"/>
      <c r="ID12" s="81"/>
      <c r="IE12" s="81"/>
      <c r="IF12" s="81"/>
      <c r="IG12" s="81"/>
      <c r="IH12" s="81"/>
      <c r="II12" s="81"/>
      <c r="IJ12" s="81"/>
    </row>
    <row r="13" spans="1:244" s="233" customFormat="1" ht="16.5">
      <c r="A13" s="34"/>
      <c r="B13" s="384"/>
      <c r="C13" s="42"/>
      <c r="D13" s="73"/>
      <c r="E13" s="119"/>
      <c r="F13" s="385"/>
      <c r="G13" s="57"/>
      <c r="H13" s="41">
        <v>3</v>
      </c>
      <c r="I13" s="56" t="s">
        <v>236</v>
      </c>
      <c r="J13" s="50"/>
      <c r="K13" s="50"/>
      <c r="L13" s="95"/>
      <c r="M13" s="50"/>
      <c r="N13" s="41"/>
      <c r="O13" s="34"/>
      <c r="P13" s="41"/>
      <c r="Q13" s="41"/>
      <c r="R13" s="50"/>
      <c r="S13" s="99"/>
      <c r="T13" s="115"/>
      <c r="U13" s="50"/>
      <c r="V13" s="50"/>
      <c r="W13" s="115"/>
      <c r="X13" s="50"/>
      <c r="Y13" s="50"/>
      <c r="Z13" s="115"/>
      <c r="AA13" s="50"/>
      <c r="AB13" s="127"/>
      <c r="AC13" s="34"/>
      <c r="AD13" s="34"/>
      <c r="AE13" s="41"/>
      <c r="AF13" s="41"/>
      <c r="AG13" s="50"/>
      <c r="AH13" s="50"/>
      <c r="AI13" s="50"/>
      <c r="AJ13" s="34"/>
      <c r="AK13" s="276"/>
      <c r="AL13" s="41"/>
      <c r="AM13" s="41" t="s">
        <v>200</v>
      </c>
      <c r="AN13" s="50">
        <v>0.6</v>
      </c>
      <c r="AO13" s="50">
        <f>AN13*110%</f>
        <v>0.66</v>
      </c>
      <c r="AP13" s="50">
        <f aca="true" t="shared" si="19" ref="AP13:AU13">AO13*110%</f>
        <v>0.7260000000000001</v>
      </c>
      <c r="AQ13" s="50">
        <f t="shared" si="19"/>
        <v>0.7986000000000002</v>
      </c>
      <c r="AR13" s="50">
        <f t="shared" si="19"/>
        <v>0.8784600000000002</v>
      </c>
      <c r="AS13" s="50">
        <f t="shared" si="19"/>
        <v>0.9663060000000003</v>
      </c>
      <c r="AT13" s="50">
        <f t="shared" si="19"/>
        <v>1.0629366000000005</v>
      </c>
      <c r="AU13" s="50">
        <f t="shared" si="19"/>
        <v>1.1692302600000006</v>
      </c>
      <c r="AV13" s="34"/>
      <c r="AW13" s="41"/>
      <c r="AX13" s="41"/>
      <c r="AY13" s="50"/>
      <c r="AZ13" s="50"/>
      <c r="BA13" s="50"/>
      <c r="BB13" s="50"/>
      <c r="BC13" s="50"/>
      <c r="BD13" s="50"/>
      <c r="BE13" s="50"/>
      <c r="BF13" s="50"/>
      <c r="BG13" s="64"/>
      <c r="BH13" s="34"/>
      <c r="BI13" s="41">
        <f>+BI8+1</f>
        <v>2</v>
      </c>
      <c r="BJ13" s="41" t="s">
        <v>257</v>
      </c>
      <c r="BK13" s="41"/>
      <c r="BL13" s="41">
        <v>360</v>
      </c>
      <c r="BM13" s="41">
        <f>+BL13</f>
        <v>360</v>
      </c>
      <c r="BN13" s="41">
        <f>+BM13</f>
        <v>360</v>
      </c>
      <c r="BO13" s="34"/>
      <c r="BP13" s="34"/>
      <c r="BQ13" s="41">
        <f>+BQ12+1</f>
        <v>2</v>
      </c>
      <c r="BR13" s="41" t="s">
        <v>272</v>
      </c>
      <c r="BS13" s="397"/>
      <c r="BT13" s="50">
        <f>F35</f>
        <v>19.9</v>
      </c>
      <c r="BU13" s="76">
        <v>0</v>
      </c>
      <c r="BV13" s="76">
        <v>0</v>
      </c>
      <c r="BW13" s="76">
        <v>0</v>
      </c>
      <c r="BX13" s="76">
        <v>0</v>
      </c>
      <c r="BY13" s="76">
        <v>0</v>
      </c>
      <c r="BZ13" s="76">
        <v>0</v>
      </c>
      <c r="CA13" s="76">
        <v>0</v>
      </c>
      <c r="CB13" s="64"/>
      <c r="CC13" s="34"/>
      <c r="CD13" s="41">
        <f>+CD12+1</f>
        <v>3</v>
      </c>
      <c r="CE13" s="41" t="s">
        <v>240</v>
      </c>
      <c r="CF13" s="474">
        <f>BS39</f>
        <v>0</v>
      </c>
      <c r="CG13" s="50">
        <f>+AY12</f>
        <v>3.975018383437483</v>
      </c>
      <c r="CH13" s="50">
        <f aca="true" t="shared" si="20" ref="CH13:CN13">+CG13+AZ12</f>
        <v>9.245700663124978</v>
      </c>
      <c r="CI13" s="50">
        <f t="shared" si="20"/>
        <v>15.944076377749967</v>
      </c>
      <c r="CJ13" s="50">
        <f t="shared" si="20"/>
        <v>23.320327442374975</v>
      </c>
      <c r="CK13" s="50">
        <f t="shared" si="20"/>
        <v>31.400321276999975</v>
      </c>
      <c r="CL13" s="50">
        <f t="shared" si="20"/>
        <v>40.35363228787497</v>
      </c>
      <c r="CM13" s="50">
        <f t="shared" si="20"/>
        <v>50.05055231864998</v>
      </c>
      <c r="CN13" s="50">
        <f t="shared" si="20"/>
        <v>60.432128697250604</v>
      </c>
      <c r="CO13" s="64"/>
      <c r="CP13" s="34"/>
      <c r="CQ13" s="34"/>
      <c r="CR13" s="41">
        <f>+CR11+1</f>
        <v>3</v>
      </c>
      <c r="CS13" s="56" t="s">
        <v>236</v>
      </c>
      <c r="CT13" s="50">
        <f>K15+J15+M15</f>
        <v>11</v>
      </c>
      <c r="CU13" s="111">
        <v>0.1034</v>
      </c>
      <c r="CV13" s="41">
        <f>ROUND(CT13*CU13,2)</f>
        <v>1.14</v>
      </c>
      <c r="CW13" s="34"/>
      <c r="CX13" s="44"/>
      <c r="CY13" s="119" t="s">
        <v>241</v>
      </c>
      <c r="CZ13" s="236">
        <f aca="true" t="shared" si="21" ref="CZ13:DG13">SUM(CZ8:CZ12)</f>
        <v>7.536018383437482</v>
      </c>
      <c r="DA13" s="236">
        <f t="shared" si="21"/>
        <v>8.641244779687495</v>
      </c>
      <c r="DB13" s="236">
        <f t="shared" si="21"/>
        <v>9.695863214624989</v>
      </c>
      <c r="DC13" s="236">
        <f t="shared" si="21"/>
        <v>10.004392314625008</v>
      </c>
      <c r="DD13" s="236">
        <f t="shared" si="21"/>
        <v>10.342331147125</v>
      </c>
      <c r="DE13" s="236">
        <f t="shared" si="21"/>
        <v>10.653209582750003</v>
      </c>
      <c r="DF13" s="236">
        <f t="shared" si="21"/>
        <v>11.037576799056257</v>
      </c>
      <c r="DG13" s="236">
        <f t="shared" si="21"/>
        <v>11.477965933467816</v>
      </c>
      <c r="DH13" s="64"/>
      <c r="DI13" s="34"/>
      <c r="DJ13" s="34"/>
      <c r="DK13" s="42" t="str">
        <f aca="true" t="shared" si="22" ref="DK13:DK23">+DK11</f>
        <v>Depreciation  -</v>
      </c>
      <c r="DL13" s="43" t="str">
        <f>+CH7</f>
        <v>2023-24</v>
      </c>
      <c r="DM13" s="50">
        <f>ROUND(DM12*DM$9,2)</f>
        <v>0.79</v>
      </c>
      <c r="DN13" s="41">
        <f>ROUND(DN12*$DN$9,2)</f>
        <v>1.4</v>
      </c>
      <c r="DO13" s="76">
        <f>ROUND(DO12*$DO$9,2)</f>
        <v>0.28</v>
      </c>
      <c r="DP13" s="486">
        <f>SUM(DM13:DO13)</f>
        <v>2.4699999999999998</v>
      </c>
      <c r="DQ13" s="34"/>
      <c r="DR13" s="34"/>
      <c r="DS13" s="41" t="str">
        <f>+DL13</f>
        <v>2023-24</v>
      </c>
      <c r="DT13" s="41" t="s">
        <v>81</v>
      </c>
      <c r="DU13" s="50">
        <f>+DX11</f>
        <v>19.9</v>
      </c>
      <c r="DV13" s="50">
        <f>DU13*DV$6/4</f>
        <v>0.4477499999999999</v>
      </c>
      <c r="DW13" s="50">
        <f>DU13/24</f>
        <v>0.8291666666666666</v>
      </c>
      <c r="DX13" s="50">
        <f t="shared" si="10"/>
        <v>19.070833333333333</v>
      </c>
      <c r="DY13" s="64"/>
      <c r="DZ13" s="41" t="str">
        <f>+DS13</f>
        <v>2023-24</v>
      </c>
      <c r="EA13" s="41" t="s">
        <v>81</v>
      </c>
      <c r="EB13" s="50"/>
      <c r="EC13" s="50"/>
      <c r="ED13" s="50"/>
      <c r="EE13" s="50"/>
      <c r="EF13" s="64"/>
      <c r="EG13" s="64"/>
      <c r="EH13" s="64"/>
      <c r="EI13" s="34"/>
      <c r="EJ13" s="50"/>
      <c r="EK13" s="50"/>
      <c r="EL13" s="41" t="s">
        <v>242</v>
      </c>
      <c r="EM13" s="41"/>
      <c r="EN13" s="43"/>
      <c r="EO13" s="34"/>
      <c r="EP13" s="41"/>
      <c r="EQ13" s="50"/>
      <c r="ER13" s="50"/>
      <c r="ES13" s="50"/>
      <c r="ET13" s="50"/>
      <c r="EU13" s="50"/>
      <c r="EV13" s="50"/>
      <c r="EW13" s="50"/>
      <c r="EX13" s="50"/>
      <c r="EY13" s="64"/>
      <c r="EZ13" s="34"/>
      <c r="FA13" s="34"/>
      <c r="FB13" s="299"/>
      <c r="FC13" s="264"/>
      <c r="FD13" s="264"/>
      <c r="FE13" s="264"/>
      <c r="FF13" s="264"/>
      <c r="FG13" s="264"/>
      <c r="FH13" s="264"/>
      <c r="FI13" s="264"/>
      <c r="FJ13" s="264"/>
      <c r="FK13" s="264"/>
      <c r="FL13" s="43"/>
      <c r="FM13" s="34"/>
      <c r="FN13" s="41"/>
      <c r="FO13" s="43"/>
      <c r="FP13" s="43"/>
      <c r="FQ13" s="43"/>
      <c r="FR13" s="43"/>
      <c r="FS13" s="300" t="s">
        <v>0</v>
      </c>
      <c r="FT13" s="43"/>
      <c r="FU13" s="298" t="s">
        <v>0</v>
      </c>
      <c r="FV13" s="43"/>
      <c r="FW13" s="43"/>
      <c r="FX13" s="43"/>
      <c r="FY13" s="34"/>
      <c r="FZ13" s="41"/>
      <c r="GA13" s="41"/>
      <c r="GB13" s="41"/>
      <c r="GC13" s="44"/>
      <c r="GD13" s="41"/>
      <c r="GE13" s="41"/>
      <c r="GF13" s="50"/>
      <c r="GG13" s="50"/>
      <c r="GH13" s="50"/>
      <c r="GI13" s="50"/>
      <c r="GJ13" s="34"/>
      <c r="GK13" s="41">
        <v>2</v>
      </c>
      <c r="GL13" s="43" t="s">
        <v>243</v>
      </c>
      <c r="GM13" s="57"/>
      <c r="GN13" s="57"/>
      <c r="GO13" s="57"/>
      <c r="GP13" s="57"/>
      <c r="GQ13" s="57"/>
      <c r="GR13" s="57"/>
      <c r="GS13" s="57"/>
      <c r="GT13" s="57"/>
      <c r="GU13" s="57"/>
      <c r="GV13" s="43"/>
      <c r="GW13" s="34"/>
      <c r="GX13" s="34"/>
      <c r="GY13" s="41" t="s">
        <v>216</v>
      </c>
      <c r="GZ13" s="41" t="s">
        <v>244</v>
      </c>
      <c r="HA13" s="44"/>
      <c r="HB13" s="41"/>
      <c r="HC13" s="41"/>
      <c r="HD13" s="50"/>
      <c r="HE13" s="51"/>
      <c r="HF13" s="51"/>
      <c r="HG13" s="51"/>
      <c r="HH13" s="51"/>
      <c r="HI13" s="34"/>
      <c r="HJ13" s="43"/>
      <c r="HK13" s="41"/>
      <c r="HL13" s="41"/>
      <c r="HM13" s="42"/>
      <c r="HN13" s="34"/>
      <c r="HO13" s="34"/>
      <c r="HP13" s="105"/>
      <c r="HQ13" s="68"/>
      <c r="HR13" s="68"/>
      <c r="HS13" s="68"/>
      <c r="HT13" s="68"/>
      <c r="HU13" s="34"/>
      <c r="HV13" s="81"/>
      <c r="HW13" s="81"/>
      <c r="HX13" s="81">
        <v>6</v>
      </c>
      <c r="HY13" s="81" t="s">
        <v>245</v>
      </c>
      <c r="HZ13" s="84"/>
      <c r="IA13" s="84"/>
      <c r="IB13" s="81"/>
      <c r="IC13" s="81"/>
      <c r="ID13" s="81"/>
      <c r="IE13" s="81"/>
      <c r="IF13" s="81"/>
      <c r="IG13" s="81"/>
      <c r="IH13" s="81"/>
      <c r="II13" s="81"/>
      <c r="IJ13" s="81"/>
    </row>
    <row r="14" spans="1:244" s="233" customFormat="1" ht="16.5">
      <c r="A14" s="34"/>
      <c r="B14" s="384">
        <v>4</v>
      </c>
      <c r="C14" s="42" t="s">
        <v>471</v>
      </c>
      <c r="D14" s="73"/>
      <c r="E14" s="119"/>
      <c r="F14" s="385">
        <v>2</v>
      </c>
      <c r="G14" s="57"/>
      <c r="H14" s="41"/>
      <c r="I14" s="41" t="s">
        <v>237</v>
      </c>
      <c r="J14" s="76">
        <v>0</v>
      </c>
      <c r="K14" s="50">
        <v>0</v>
      </c>
      <c r="L14" s="93">
        <v>0.1</v>
      </c>
      <c r="M14" s="50">
        <f>K14*L14</f>
        <v>0</v>
      </c>
      <c r="N14" s="41"/>
      <c r="O14" s="34"/>
      <c r="P14" s="41"/>
      <c r="Q14" s="56" t="s">
        <v>344</v>
      </c>
      <c r="R14" s="50">
        <v>0.5</v>
      </c>
      <c r="S14" s="99">
        <v>0.25</v>
      </c>
      <c r="T14" s="115">
        <f>AG$42*$R14/12</f>
        <v>4.643625000000001</v>
      </c>
      <c r="U14" s="50">
        <f>+T14-V14</f>
        <v>3.482718750000001</v>
      </c>
      <c r="V14" s="50">
        <f>T14*$S14</f>
        <v>1.1609062500000003</v>
      </c>
      <c r="W14" s="115">
        <f>AH$42*$R14/12</f>
        <v>5.410625</v>
      </c>
      <c r="X14" s="50">
        <f>+W14-Y14</f>
        <v>4.05796875</v>
      </c>
      <c r="Y14" s="50">
        <f>W14*$S14</f>
        <v>1.35265625</v>
      </c>
      <c r="Z14" s="115">
        <f>AI$42*$R14/12</f>
        <v>6.178450000000001</v>
      </c>
      <c r="AA14" s="50">
        <f>+Z14-AB14</f>
        <v>4.6338375</v>
      </c>
      <c r="AB14" s="127">
        <f>Z14*$S14</f>
        <v>1.5446125000000002</v>
      </c>
      <c r="AC14" s="34"/>
      <c r="AD14" s="34"/>
      <c r="AE14" s="41"/>
      <c r="AF14" s="56" t="s">
        <v>298</v>
      </c>
      <c r="AG14" s="50">
        <f>(BL25+BL26)*50/10000000</f>
        <v>11.7</v>
      </c>
      <c r="AH14" s="50">
        <f>(BM25+BM26)*50/10000000</f>
        <v>13.65</v>
      </c>
      <c r="AI14" s="50">
        <f>(BN25+BN26)*50/10000000</f>
        <v>15.6</v>
      </c>
      <c r="AJ14" s="34"/>
      <c r="AK14" s="276"/>
      <c r="AL14" s="41"/>
      <c r="AM14" s="41" t="s">
        <v>614</v>
      </c>
      <c r="AN14" s="50">
        <v>0.48</v>
      </c>
      <c r="AO14" s="50">
        <f>AN14*110%</f>
        <v>0.528</v>
      </c>
      <c r="AP14" s="50">
        <f aca="true" t="shared" si="23" ref="AP14:AU15">AO14*110%</f>
        <v>0.5808000000000001</v>
      </c>
      <c r="AQ14" s="50">
        <f t="shared" si="23"/>
        <v>0.6388800000000001</v>
      </c>
      <c r="AR14" s="50">
        <f t="shared" si="23"/>
        <v>0.7027680000000002</v>
      </c>
      <c r="AS14" s="50">
        <f t="shared" si="23"/>
        <v>0.7730448000000002</v>
      </c>
      <c r="AT14" s="50">
        <f t="shared" si="23"/>
        <v>0.8503492800000003</v>
      </c>
      <c r="AU14" s="50">
        <f t="shared" si="23"/>
        <v>0.9353842080000004</v>
      </c>
      <c r="AV14" s="34"/>
      <c r="AW14" s="41"/>
      <c r="AX14" s="41" t="s">
        <v>248</v>
      </c>
      <c r="AY14" s="50"/>
      <c r="AZ14" s="50"/>
      <c r="BA14" s="50"/>
      <c r="BB14" s="50"/>
      <c r="BC14" s="50"/>
      <c r="BD14" s="50"/>
      <c r="BE14" s="50"/>
      <c r="BF14" s="50"/>
      <c r="BG14" s="64"/>
      <c r="BH14" s="34"/>
      <c r="BI14" s="41"/>
      <c r="BJ14" s="41"/>
      <c r="BK14" s="41"/>
      <c r="BL14" s="41"/>
      <c r="BM14" s="41"/>
      <c r="BN14" s="41"/>
      <c r="BO14" s="34"/>
      <c r="BP14" s="34"/>
      <c r="BQ14" s="41">
        <f>BQ13+1</f>
        <v>3</v>
      </c>
      <c r="BR14" s="41" t="s">
        <v>586</v>
      </c>
      <c r="BS14" s="397"/>
      <c r="BT14" s="50">
        <f>F33</f>
        <v>5</v>
      </c>
      <c r="BU14" s="76">
        <v>0</v>
      </c>
      <c r="BV14" s="76">
        <f aca="true" t="shared" si="24" ref="BV14:CA14">H29</f>
        <v>0</v>
      </c>
      <c r="BW14" s="76">
        <f t="shared" si="24"/>
        <v>0</v>
      </c>
      <c r="BX14" s="76">
        <f t="shared" si="24"/>
        <v>0</v>
      </c>
      <c r="BY14" s="76">
        <f t="shared" si="24"/>
        <v>0</v>
      </c>
      <c r="BZ14" s="76">
        <f t="shared" si="24"/>
        <v>0</v>
      </c>
      <c r="CA14" s="76">
        <f t="shared" si="24"/>
        <v>0</v>
      </c>
      <c r="CB14" s="64"/>
      <c r="CC14" s="34"/>
      <c r="CD14" s="41"/>
      <c r="CE14" s="41"/>
      <c r="CF14" s="475">
        <f>SUM(CF12:CF13)</f>
        <v>0</v>
      </c>
      <c r="CG14" s="108">
        <f>SUM(CG11:CG13)</f>
        <v>28.176377758437486</v>
      </c>
      <c r="CH14" s="108">
        <f aca="true" t="shared" si="25" ref="CH14:CN14">SUM(CH11:CH13)</f>
        <v>33.44706003812498</v>
      </c>
      <c r="CI14" s="108">
        <f t="shared" si="25"/>
        <v>40.14543575274997</v>
      </c>
      <c r="CJ14" s="108">
        <f t="shared" si="25"/>
        <v>47.52168681737498</v>
      </c>
      <c r="CK14" s="108">
        <f t="shared" si="25"/>
        <v>55.60168065199998</v>
      </c>
      <c r="CL14" s="108">
        <f t="shared" si="25"/>
        <v>64.55499166287498</v>
      </c>
      <c r="CM14" s="108">
        <f t="shared" si="25"/>
        <v>74.25191169364999</v>
      </c>
      <c r="CN14" s="108">
        <f t="shared" si="25"/>
        <v>84.6334880722506</v>
      </c>
      <c r="CO14" s="64"/>
      <c r="CP14" s="34"/>
      <c r="CQ14" s="34"/>
      <c r="CR14" s="41"/>
      <c r="CS14" s="41"/>
      <c r="CT14" s="41"/>
      <c r="CU14" s="111"/>
      <c r="CV14" s="41"/>
      <c r="CW14" s="34"/>
      <c r="CX14" s="44"/>
      <c r="CY14" s="43"/>
      <c r="CZ14" s="51"/>
      <c r="DA14" s="51"/>
      <c r="DB14" s="51"/>
      <c r="DC14" s="51"/>
      <c r="DD14" s="51"/>
      <c r="DE14" s="51"/>
      <c r="DF14" s="51"/>
      <c r="DG14" s="51"/>
      <c r="DH14" s="64"/>
      <c r="DI14" s="34"/>
      <c r="DJ14" s="34"/>
      <c r="DK14" s="42" t="str">
        <f t="shared" si="22"/>
        <v>W D V</v>
      </c>
      <c r="DL14" s="43"/>
      <c r="DM14" s="39">
        <f>+DM12-DM13</f>
        <v>7.130000000000001</v>
      </c>
      <c r="DN14" s="39">
        <f>+DN12-DN13</f>
        <v>7.949999999999999</v>
      </c>
      <c r="DO14" s="39">
        <f>+DO12-DO13</f>
        <v>1.59</v>
      </c>
      <c r="DP14" s="39">
        <f>+DP12-DP13</f>
        <v>16.67</v>
      </c>
      <c r="DQ14" s="34"/>
      <c r="DR14" s="34"/>
      <c r="DS14" s="41"/>
      <c r="DT14" s="41" t="s">
        <v>121</v>
      </c>
      <c r="DU14" s="50">
        <f>+DX13</f>
        <v>19.070833333333333</v>
      </c>
      <c r="DV14" s="50">
        <f>DU14*DV$6/4</f>
        <v>0.42909375</v>
      </c>
      <c r="DW14" s="50">
        <f>+DW13</f>
        <v>0.8291666666666666</v>
      </c>
      <c r="DX14" s="50">
        <f t="shared" si="10"/>
        <v>18.241666666666667</v>
      </c>
      <c r="DY14" s="64"/>
      <c r="DZ14" s="41"/>
      <c r="EA14" s="41" t="s">
        <v>121</v>
      </c>
      <c r="EB14" s="50"/>
      <c r="EC14" s="50"/>
      <c r="ED14" s="50"/>
      <c r="EE14" s="50"/>
      <c r="EF14" s="64"/>
      <c r="EG14" s="64"/>
      <c r="EH14" s="64"/>
      <c r="EI14" s="34"/>
      <c r="EJ14" s="126"/>
      <c r="EK14" s="50"/>
      <c r="EL14" s="41" t="s">
        <v>250</v>
      </c>
      <c r="EM14" s="41"/>
      <c r="EN14" s="43"/>
      <c r="EO14" s="34"/>
      <c r="EP14" s="41" t="s">
        <v>251</v>
      </c>
      <c r="EQ14" s="50">
        <f>+DP11</f>
        <v>2.86</v>
      </c>
      <c r="ER14" s="50">
        <f>+DP13</f>
        <v>2.4699999999999998</v>
      </c>
      <c r="ES14" s="50">
        <f>+DP15</f>
        <v>2.1399999999999997</v>
      </c>
      <c r="ET14" s="50">
        <f>+DP17</f>
        <v>1.8499999999999999</v>
      </c>
      <c r="EU14" s="50">
        <f>+DP19</f>
        <v>1.6099999999999999</v>
      </c>
      <c r="EV14" s="50">
        <f>DP21</f>
        <v>1.4</v>
      </c>
      <c r="EW14" s="50">
        <f>DP23</f>
        <v>1.21</v>
      </c>
      <c r="EX14" s="50">
        <f>DP25</f>
        <v>1.06</v>
      </c>
      <c r="EY14" s="64"/>
      <c r="EZ14" s="34"/>
      <c r="FA14" s="34"/>
      <c r="FB14" s="299"/>
      <c r="FC14" s="264"/>
      <c r="FD14" s="264"/>
      <c r="FE14" s="264"/>
      <c r="FF14" s="264"/>
      <c r="FG14" s="264"/>
      <c r="FH14" s="264"/>
      <c r="FI14" s="264"/>
      <c r="FJ14" s="264"/>
      <c r="FK14" s="264"/>
      <c r="FL14" s="43"/>
      <c r="FM14" s="34"/>
      <c r="FN14" s="41"/>
      <c r="FO14" s="43"/>
      <c r="FP14" s="43"/>
      <c r="FQ14" s="43"/>
      <c r="FR14" s="43"/>
      <c r="FS14" s="300" t="s">
        <v>0</v>
      </c>
      <c r="FT14" s="43"/>
      <c r="FU14" s="298" t="s">
        <v>0</v>
      </c>
      <c r="FV14" s="43"/>
      <c r="FW14" s="43"/>
      <c r="FX14" s="43"/>
      <c r="FY14" s="34"/>
      <c r="FZ14" s="41">
        <f>+FZ11+1</f>
        <v>2</v>
      </c>
      <c r="GA14" s="41"/>
      <c r="GB14" s="41" t="s">
        <v>215</v>
      </c>
      <c r="GC14" s="44" t="s">
        <v>0</v>
      </c>
      <c r="GD14" s="41">
        <v>500</v>
      </c>
      <c r="GE14" s="41">
        <v>3500</v>
      </c>
      <c r="GF14" s="50">
        <f aca="true" t="shared" si="26" ref="GF14:GF20">GD14*GE14/100000</f>
        <v>17.5</v>
      </c>
      <c r="GG14" s="50"/>
      <c r="GH14" s="50"/>
      <c r="GI14" s="50"/>
      <c r="GJ14" s="34"/>
      <c r="GK14" s="301"/>
      <c r="GL14" s="302"/>
      <c r="GM14" s="264"/>
      <c r="GN14" s="264"/>
      <c r="GO14" s="264"/>
      <c r="GP14" s="264"/>
      <c r="GQ14" s="264"/>
      <c r="GR14" s="264"/>
      <c r="GS14" s="264"/>
      <c r="GT14" s="264"/>
      <c r="GU14" s="264"/>
      <c r="GV14" s="302"/>
      <c r="GW14" s="34"/>
      <c r="GX14" s="34"/>
      <c r="GY14" s="41">
        <v>1</v>
      </c>
      <c r="GZ14" s="43" t="s">
        <v>232</v>
      </c>
      <c r="HA14" s="44"/>
      <c r="HB14" s="41"/>
      <c r="HC14" s="41"/>
      <c r="HD14" s="50"/>
      <c r="HE14" s="51"/>
      <c r="HF14" s="51"/>
      <c r="HG14" s="51"/>
      <c r="HH14" s="51"/>
      <c r="HI14" s="34"/>
      <c r="HJ14" s="43"/>
      <c r="HK14" s="41" t="s">
        <v>204</v>
      </c>
      <c r="HL14" s="50">
        <f>AI12</f>
        <v>126</v>
      </c>
      <c r="HM14" s="42"/>
      <c r="HN14" s="34"/>
      <c r="HO14" s="34"/>
      <c r="HP14" s="105">
        <v>3</v>
      </c>
      <c r="HQ14" s="68" t="s">
        <v>181</v>
      </c>
      <c r="HR14" s="137">
        <f>+AN34+AN35</f>
        <v>3.566813624999999</v>
      </c>
      <c r="HS14" s="137">
        <f>+AO34+AO35</f>
        <v>3.750283125</v>
      </c>
      <c r="HT14" s="137">
        <f>+AP34+AP35</f>
        <v>3.7472569500000006</v>
      </c>
      <c r="HU14" s="34"/>
      <c r="HV14" s="81"/>
      <c r="HW14" s="81"/>
      <c r="HX14" s="81">
        <v>7</v>
      </c>
      <c r="HY14" s="81" t="s">
        <v>253</v>
      </c>
      <c r="HZ14" s="84"/>
      <c r="IA14" s="84"/>
      <c r="IB14" s="81"/>
      <c r="IC14" s="81"/>
      <c r="ID14" s="81"/>
      <c r="IE14" s="81"/>
      <c r="IF14" s="81"/>
      <c r="IG14" s="81"/>
      <c r="IH14" s="81"/>
      <c r="II14" s="81"/>
      <c r="IJ14" s="81"/>
    </row>
    <row r="15" spans="1:244" s="233" customFormat="1" ht="16.5">
      <c r="A15" s="34"/>
      <c r="B15" s="384"/>
      <c r="C15" s="42"/>
      <c r="D15" s="73"/>
      <c r="E15" s="119"/>
      <c r="F15" s="385"/>
      <c r="G15" s="57"/>
      <c r="H15" s="41"/>
      <c r="I15" s="56" t="s">
        <v>225</v>
      </c>
      <c r="J15" s="76">
        <v>0</v>
      </c>
      <c r="K15" s="50">
        <f>F12</f>
        <v>10</v>
      </c>
      <c r="L15" s="93">
        <v>0.1</v>
      </c>
      <c r="M15" s="50">
        <f>K15*L15</f>
        <v>1</v>
      </c>
      <c r="N15" s="41"/>
      <c r="O15" s="34"/>
      <c r="P15" s="41">
        <f>+P11+1</f>
        <v>2</v>
      </c>
      <c r="Q15" s="98" t="s">
        <v>352</v>
      </c>
      <c r="R15" s="50"/>
      <c r="S15" s="99"/>
      <c r="T15" s="115"/>
      <c r="U15" s="50"/>
      <c r="V15" s="50"/>
      <c r="W15" s="115"/>
      <c r="X15" s="50"/>
      <c r="Y15" s="50"/>
      <c r="Z15" s="115"/>
      <c r="AA15" s="50"/>
      <c r="AB15" s="127"/>
      <c r="AC15" s="34"/>
      <c r="AD15" s="275"/>
      <c r="AE15" s="41"/>
      <c r="AF15" s="41" t="s">
        <v>307</v>
      </c>
      <c r="AG15" s="50"/>
      <c r="AH15" s="50"/>
      <c r="AI15" s="50"/>
      <c r="AJ15" s="34"/>
      <c r="AK15" s="276"/>
      <c r="AL15" s="41"/>
      <c r="AM15" s="41" t="s">
        <v>536</v>
      </c>
      <c r="AN15" s="50">
        <v>0.36</v>
      </c>
      <c r="AO15" s="50">
        <f>AN15*110%</f>
        <v>0.396</v>
      </c>
      <c r="AP15" s="50">
        <f t="shared" si="23"/>
        <v>0.43560000000000004</v>
      </c>
      <c r="AQ15" s="50">
        <f t="shared" si="23"/>
        <v>0.4791600000000001</v>
      </c>
      <c r="AR15" s="50">
        <f t="shared" si="23"/>
        <v>0.5270760000000001</v>
      </c>
      <c r="AS15" s="50">
        <f t="shared" si="23"/>
        <v>0.5797836000000002</v>
      </c>
      <c r="AT15" s="50">
        <f t="shared" si="23"/>
        <v>0.6377619600000003</v>
      </c>
      <c r="AU15" s="50">
        <f t="shared" si="23"/>
        <v>0.7015381560000004</v>
      </c>
      <c r="AV15" s="34"/>
      <c r="AW15" s="41"/>
      <c r="AX15" s="41" t="s">
        <v>256</v>
      </c>
      <c r="AY15" s="50">
        <f aca="true" t="shared" si="27" ref="AY15:BF15">+AN37</f>
        <v>1.5699999999999998</v>
      </c>
      <c r="AZ15" s="50">
        <f t="shared" si="27"/>
        <v>1.4914999999999998</v>
      </c>
      <c r="BA15" s="50">
        <f t="shared" si="27"/>
        <v>1.4169249999999998</v>
      </c>
      <c r="BB15" s="50">
        <f t="shared" si="27"/>
        <v>1.3460787499999998</v>
      </c>
      <c r="BC15" s="50">
        <f t="shared" si="27"/>
        <v>1.2787748124999998</v>
      </c>
      <c r="BD15" s="50">
        <f t="shared" si="27"/>
        <v>1.2148360718749998</v>
      </c>
      <c r="BE15" s="50">
        <f t="shared" si="27"/>
        <v>1.1540942682812496</v>
      </c>
      <c r="BF15" s="50">
        <f t="shared" si="27"/>
        <v>1.0963895548671871</v>
      </c>
      <c r="BG15" s="64"/>
      <c r="BH15" s="34"/>
      <c r="BI15" s="41"/>
      <c r="BJ15" s="41"/>
      <c r="BK15" s="41"/>
      <c r="BL15" s="41"/>
      <c r="BM15" s="41"/>
      <c r="BN15" s="41"/>
      <c r="BO15" s="34"/>
      <c r="BP15" s="34"/>
      <c r="BQ15" s="41">
        <v>4</v>
      </c>
      <c r="BR15" s="41" t="s">
        <v>280</v>
      </c>
      <c r="BS15" s="396"/>
      <c r="BT15" s="50">
        <f aca="true" t="shared" si="28" ref="BT15:CA15">+AY3+AN34+AN35</f>
        <v>8.472999999999976</v>
      </c>
      <c r="BU15" s="50">
        <f t="shared" si="28"/>
        <v>10.509499999999994</v>
      </c>
      <c r="BV15" s="50">
        <f t="shared" si="28"/>
        <v>12.517874999999986</v>
      </c>
      <c r="BW15" s="50">
        <f t="shared" si="28"/>
        <v>13.208341250000013</v>
      </c>
      <c r="BX15" s="50">
        <f t="shared" si="28"/>
        <v>13.917534187500003</v>
      </c>
      <c r="BY15" s="50">
        <f t="shared" si="28"/>
        <v>14.845873178125004</v>
      </c>
      <c r="BZ15" s="50">
        <f t="shared" si="28"/>
        <v>15.59369372421876</v>
      </c>
      <c r="CA15" s="50">
        <f t="shared" si="28"/>
        <v>16.36123544525782</v>
      </c>
      <c r="CB15" s="64"/>
      <c r="CC15" s="34"/>
      <c r="CD15" s="41"/>
      <c r="CE15" s="41"/>
      <c r="CF15" s="473"/>
      <c r="CG15" s="50"/>
      <c r="CH15" s="50"/>
      <c r="CI15" s="50"/>
      <c r="CJ15" s="50"/>
      <c r="CK15" s="50"/>
      <c r="CL15" s="50"/>
      <c r="CM15" s="50"/>
      <c r="CN15" s="50"/>
      <c r="CO15" s="64"/>
      <c r="CP15" s="34"/>
      <c r="CQ15" s="34"/>
      <c r="CR15" s="41">
        <f>+CR13+1</f>
        <v>4</v>
      </c>
      <c r="CS15" s="41" t="s">
        <v>259</v>
      </c>
      <c r="CT15" s="50">
        <f>K18+M18+J18</f>
        <v>2.2</v>
      </c>
      <c r="CU15" s="111">
        <v>0.0633</v>
      </c>
      <c r="CV15" s="41">
        <f>ROUND(CT15*CU15,2)</f>
        <v>0.14</v>
      </c>
      <c r="CW15" s="34"/>
      <c r="CX15" s="44">
        <f>+CX11+1</f>
        <v>3</v>
      </c>
      <c r="CY15" s="43" t="s">
        <v>260</v>
      </c>
      <c r="CZ15" s="51">
        <f aca="true" t="shared" si="29" ref="CZ15:DG15">+BT31</f>
        <v>0</v>
      </c>
      <c r="DA15" s="51">
        <f t="shared" si="29"/>
        <v>3.3166666666666664</v>
      </c>
      <c r="DB15" s="51">
        <f t="shared" si="29"/>
        <v>3.3166666666666664</v>
      </c>
      <c r="DC15" s="51">
        <f t="shared" si="29"/>
        <v>3.3166666666666664</v>
      </c>
      <c r="DD15" s="51">
        <f t="shared" si="29"/>
        <v>3.3166666666666664</v>
      </c>
      <c r="DE15" s="51">
        <f t="shared" si="29"/>
        <v>3.3166666666666664</v>
      </c>
      <c r="DF15" s="51">
        <f t="shared" si="29"/>
        <v>3.3166666666666664</v>
      </c>
      <c r="DG15" s="51">
        <f t="shared" si="29"/>
        <v>0</v>
      </c>
      <c r="DH15" s="64"/>
      <c r="DI15" s="34"/>
      <c r="DJ15" s="34"/>
      <c r="DK15" s="42" t="str">
        <f t="shared" si="22"/>
        <v>Depreciation  -</v>
      </c>
      <c r="DL15" s="43" t="str">
        <f>+CI7</f>
        <v>2024-25</v>
      </c>
      <c r="DM15" s="41">
        <f>ROUND(DM14*DM$9,2)</f>
        <v>0.71</v>
      </c>
      <c r="DN15" s="41">
        <f>ROUND(DN14*$DN$9,2)</f>
        <v>1.19</v>
      </c>
      <c r="DO15" s="41">
        <f>ROUND(DO14*$DO$9,2)</f>
        <v>0.24</v>
      </c>
      <c r="DP15" s="492">
        <f>SUM(DM15:DO15)</f>
        <v>2.1399999999999997</v>
      </c>
      <c r="DQ15" s="34"/>
      <c r="DR15" s="34"/>
      <c r="DS15" s="41"/>
      <c r="DT15" s="41" t="s">
        <v>166</v>
      </c>
      <c r="DU15" s="50">
        <f>+DX14</f>
        <v>18.241666666666667</v>
      </c>
      <c r="DV15" s="50">
        <f>DU15*DV$6/4</f>
        <v>0.4104375</v>
      </c>
      <c r="DW15" s="50">
        <f>+DW13</f>
        <v>0.8291666666666666</v>
      </c>
      <c r="DX15" s="50">
        <f t="shared" si="10"/>
        <v>17.4125</v>
      </c>
      <c r="DY15" s="64"/>
      <c r="DZ15" s="41"/>
      <c r="EA15" s="41" t="s">
        <v>166</v>
      </c>
      <c r="EB15" s="50"/>
      <c r="EC15" s="50"/>
      <c r="ED15" s="50"/>
      <c r="EE15" s="50"/>
      <c r="EF15" s="64"/>
      <c r="EG15" s="64"/>
      <c r="EH15" s="64"/>
      <c r="EI15" s="34"/>
      <c r="EJ15" s="126"/>
      <c r="EK15" s="50"/>
      <c r="EL15" s="34"/>
      <c r="EM15" s="41"/>
      <c r="EN15" s="43"/>
      <c r="EO15" s="34"/>
      <c r="EP15" s="41" t="s">
        <v>261</v>
      </c>
      <c r="EQ15" s="50"/>
      <c r="ER15" s="50"/>
      <c r="ES15" s="50"/>
      <c r="ET15" s="50"/>
      <c r="EU15" s="50"/>
      <c r="EV15" s="50"/>
      <c r="EW15" s="50"/>
      <c r="EX15" s="50"/>
      <c r="EY15" s="64"/>
      <c r="EZ15" s="34"/>
      <c r="FA15" s="34"/>
      <c r="FB15" s="511" t="s">
        <v>262</v>
      </c>
      <c r="FC15" s="504"/>
      <c r="FD15" s="504"/>
      <c r="FE15" s="504"/>
      <c r="FF15" s="504"/>
      <c r="FG15" s="504"/>
      <c r="FH15" s="504"/>
      <c r="FI15" s="504"/>
      <c r="FJ15" s="504"/>
      <c r="FK15" s="504"/>
      <c r="FL15" s="512"/>
      <c r="FM15" s="34"/>
      <c r="FN15" s="303"/>
      <c r="FO15" s="302"/>
      <c r="FP15" s="302"/>
      <c r="FQ15" s="302"/>
      <c r="FR15" s="302"/>
      <c r="FS15" s="302"/>
      <c r="FT15" s="43"/>
      <c r="FU15" s="302"/>
      <c r="FV15" s="43"/>
      <c r="FW15" s="43"/>
      <c r="FX15" s="43"/>
      <c r="FY15" s="34"/>
      <c r="FZ15" s="41"/>
      <c r="GA15" s="41"/>
      <c r="GB15" s="41"/>
      <c r="GC15" s="44"/>
      <c r="GD15" s="41"/>
      <c r="GE15" s="41"/>
      <c r="GF15" s="50" t="s">
        <v>0</v>
      </c>
      <c r="GG15" s="50"/>
      <c r="GH15" s="50"/>
      <c r="GI15" s="50"/>
      <c r="GJ15" s="34"/>
      <c r="GK15" s="41" t="s">
        <v>263</v>
      </c>
      <c r="GL15" s="43" t="s">
        <v>264</v>
      </c>
      <c r="GM15" s="59"/>
      <c r="GN15" s="57"/>
      <c r="GO15" s="57"/>
      <c r="GP15" s="57"/>
      <c r="GQ15" s="57"/>
      <c r="GR15" s="57"/>
      <c r="GS15" s="57"/>
      <c r="GT15" s="57"/>
      <c r="GU15" s="57"/>
      <c r="GV15" s="43"/>
      <c r="GW15" s="34"/>
      <c r="GX15" s="34"/>
      <c r="GY15" s="41">
        <v>2</v>
      </c>
      <c r="GZ15" s="43" t="s">
        <v>243</v>
      </c>
      <c r="HA15" s="44"/>
      <c r="HB15" s="41"/>
      <c r="HC15" s="41"/>
      <c r="HD15" s="50"/>
      <c r="HE15" s="51"/>
      <c r="HF15" s="51"/>
      <c r="HG15" s="51"/>
      <c r="HH15" s="51"/>
      <c r="HI15" s="34"/>
      <c r="HJ15" s="43"/>
      <c r="HK15" s="41" t="s">
        <v>252</v>
      </c>
      <c r="HL15" s="50">
        <f>+AI14</f>
        <v>15.6</v>
      </c>
      <c r="HM15" s="42"/>
      <c r="HN15" s="34"/>
      <c r="HO15" s="34"/>
      <c r="HP15" s="105"/>
      <c r="HQ15" s="68"/>
      <c r="HR15" s="68"/>
      <c r="HS15" s="68"/>
      <c r="HT15" s="68"/>
      <c r="HU15" s="34"/>
      <c r="HV15" s="81"/>
      <c r="HW15" s="81"/>
      <c r="HX15" s="81">
        <v>8</v>
      </c>
      <c r="HY15" s="81" t="s">
        <v>266</v>
      </c>
      <c r="HZ15" s="84"/>
      <c r="IA15" s="84"/>
      <c r="IB15" s="81"/>
      <c r="IC15" s="81"/>
      <c r="ID15" s="81"/>
      <c r="IE15" s="81"/>
      <c r="IF15" s="81"/>
      <c r="IG15" s="81"/>
      <c r="IH15" s="81"/>
      <c r="II15" s="81"/>
      <c r="IJ15" s="81"/>
    </row>
    <row r="16" spans="1:244" s="233" customFormat="1" ht="16.5">
      <c r="A16" s="34"/>
      <c r="B16" s="479">
        <v>5</v>
      </c>
      <c r="C16" s="480" t="s">
        <v>506</v>
      </c>
      <c r="D16" s="481"/>
      <c r="E16" s="482"/>
      <c r="F16" s="491">
        <f>+V28</f>
        <v>14.701359375000003</v>
      </c>
      <c r="G16" s="57"/>
      <c r="H16" s="41"/>
      <c r="I16" s="41"/>
      <c r="J16" s="50"/>
      <c r="K16" s="50"/>
      <c r="L16" s="95"/>
      <c r="M16" s="50"/>
      <c r="N16" s="41"/>
      <c r="O16" s="34"/>
      <c r="P16" s="41"/>
      <c r="Q16" s="41"/>
      <c r="R16" s="50"/>
      <c r="S16" s="99"/>
      <c r="T16" s="115"/>
      <c r="U16" s="50"/>
      <c r="V16" s="50"/>
      <c r="W16" s="115"/>
      <c r="X16" s="50"/>
      <c r="Y16" s="50"/>
      <c r="Z16" s="115"/>
      <c r="AA16" s="50"/>
      <c r="AB16" s="127"/>
      <c r="AC16" s="34"/>
      <c r="AD16" s="34"/>
      <c r="AE16" s="41"/>
      <c r="AF16" s="41"/>
      <c r="AG16" s="50"/>
      <c r="AH16" s="50"/>
      <c r="AI16" s="50"/>
      <c r="AJ16" s="34"/>
      <c r="AK16" s="276"/>
      <c r="AL16" s="41"/>
      <c r="AM16" s="41"/>
      <c r="AN16" s="50"/>
      <c r="AO16" s="50"/>
      <c r="AP16" s="50"/>
      <c r="AQ16" s="50"/>
      <c r="AR16" s="50"/>
      <c r="AS16" s="50"/>
      <c r="AT16" s="50"/>
      <c r="AU16" s="50"/>
      <c r="AV16" s="34"/>
      <c r="AW16" s="41"/>
      <c r="AX16" s="41" t="s">
        <v>270</v>
      </c>
      <c r="AY16" s="50">
        <f>AN41</f>
        <v>0.2</v>
      </c>
      <c r="AZ16" s="50">
        <f aca="true" t="shared" si="30" ref="AZ16:BF16">AO41</f>
        <v>0.2</v>
      </c>
      <c r="BA16" s="50">
        <f t="shared" si="30"/>
        <v>0.2</v>
      </c>
      <c r="BB16" s="50">
        <f t="shared" si="30"/>
        <v>0.2</v>
      </c>
      <c r="BC16" s="50">
        <f t="shared" si="30"/>
        <v>0.2</v>
      </c>
      <c r="BD16" s="76">
        <f t="shared" si="30"/>
        <v>0</v>
      </c>
      <c r="BE16" s="76">
        <f t="shared" si="30"/>
        <v>0</v>
      </c>
      <c r="BF16" s="76">
        <f t="shared" si="30"/>
        <v>0</v>
      </c>
      <c r="BG16" s="287"/>
      <c r="BH16" s="34"/>
      <c r="BI16" s="41">
        <f>+BI13+1</f>
        <v>3</v>
      </c>
      <c r="BJ16" s="41" t="s">
        <v>279</v>
      </c>
      <c r="BK16" s="41"/>
      <c r="BL16" s="41">
        <v>3</v>
      </c>
      <c r="BM16" s="41">
        <f>+BL16</f>
        <v>3</v>
      </c>
      <c r="BN16" s="41">
        <f>+BM16</f>
        <v>3</v>
      </c>
      <c r="BO16" s="34"/>
      <c r="BP16" s="34"/>
      <c r="BQ16" s="41"/>
      <c r="BR16" s="41" t="s">
        <v>290</v>
      </c>
      <c r="BS16" s="396"/>
      <c r="BT16" s="50"/>
      <c r="BU16" s="50"/>
      <c r="BV16" s="50"/>
      <c r="BW16" s="50"/>
      <c r="BX16" s="50"/>
      <c r="BY16" s="50"/>
      <c r="BZ16" s="50"/>
      <c r="CA16" s="50"/>
      <c r="CB16" s="64"/>
      <c r="CC16" s="34"/>
      <c r="CD16" s="41">
        <f>+CD13+1</f>
        <v>4</v>
      </c>
      <c r="CE16" s="41" t="s">
        <v>273</v>
      </c>
      <c r="CF16" s="473"/>
      <c r="CG16" s="50"/>
      <c r="CH16" s="50"/>
      <c r="CI16" s="50"/>
      <c r="CJ16" s="50"/>
      <c r="CK16" s="50"/>
      <c r="CL16" s="50"/>
      <c r="CM16" s="50"/>
      <c r="CN16" s="50"/>
      <c r="CO16" s="64"/>
      <c r="CP16" s="260"/>
      <c r="CQ16" s="34"/>
      <c r="CR16" s="41"/>
      <c r="CS16" s="41"/>
      <c r="CT16" s="41"/>
      <c r="CU16" s="111"/>
      <c r="CV16" s="41"/>
      <c r="CW16" s="34"/>
      <c r="CX16" s="44"/>
      <c r="CY16" s="43"/>
      <c r="CZ16" s="51"/>
      <c r="DA16" s="51"/>
      <c r="DB16" s="51"/>
      <c r="DC16" s="51"/>
      <c r="DD16" s="51"/>
      <c r="DE16" s="51"/>
      <c r="DF16" s="51"/>
      <c r="DG16" s="51"/>
      <c r="DH16" s="64"/>
      <c r="DI16" s="34"/>
      <c r="DJ16" s="34"/>
      <c r="DK16" s="42" t="str">
        <f t="shared" si="22"/>
        <v>W D V</v>
      </c>
      <c r="DL16" s="43"/>
      <c r="DM16" s="39">
        <f>+DM14-DM15</f>
        <v>6.420000000000001</v>
      </c>
      <c r="DN16" s="39">
        <f>+DN14-DN15</f>
        <v>6.76</v>
      </c>
      <c r="DO16" s="39">
        <f>+DO14-DO15</f>
        <v>1.35</v>
      </c>
      <c r="DP16" s="39">
        <f>+DP14-DP15</f>
        <v>14.530000000000001</v>
      </c>
      <c r="DQ16" s="34"/>
      <c r="DR16" s="34"/>
      <c r="DS16" s="41"/>
      <c r="DT16" s="41" t="s">
        <v>274</v>
      </c>
      <c r="DU16" s="50">
        <f>+DX15</f>
        <v>17.4125</v>
      </c>
      <c r="DV16" s="50">
        <f>DU16*DV$6/4</f>
        <v>0.39178125</v>
      </c>
      <c r="DW16" s="50">
        <f>+DW14</f>
        <v>0.8291666666666666</v>
      </c>
      <c r="DX16" s="50">
        <f t="shared" si="10"/>
        <v>16.583333333333336</v>
      </c>
      <c r="DY16" s="64"/>
      <c r="DZ16" s="41"/>
      <c r="EA16" s="41" t="s">
        <v>274</v>
      </c>
      <c r="EB16" s="50"/>
      <c r="EC16" s="50"/>
      <c r="ED16" s="50"/>
      <c r="EE16" s="50"/>
      <c r="EF16" s="64"/>
      <c r="EG16" s="64"/>
      <c r="EH16" s="64"/>
      <c r="EI16" s="34"/>
      <c r="EJ16" s="50"/>
      <c r="EK16" s="50"/>
      <c r="EL16" s="34"/>
      <c r="EM16" s="41"/>
      <c r="EN16" s="43"/>
      <c r="EO16" s="34"/>
      <c r="EP16" s="41"/>
      <c r="EQ16" s="108">
        <f aca="true" t="shared" si="31" ref="EQ16:EX16">+EQ12-EQ14</f>
        <v>3.6161863749999763</v>
      </c>
      <c r="ER16" s="108">
        <f t="shared" si="31"/>
        <v>5.780716874999993</v>
      </c>
      <c r="ES16" s="108">
        <f t="shared" si="31"/>
        <v>8.047543049999984</v>
      </c>
      <c r="ET16" s="108">
        <f t="shared" si="31"/>
        <v>9.255663050000011</v>
      </c>
      <c r="EU16" s="108">
        <f t="shared" si="31"/>
        <v>10.436052050000002</v>
      </c>
      <c r="EV16" s="108">
        <f t="shared" si="31"/>
        <v>11.808952300000001</v>
      </c>
      <c r="EW16" s="108">
        <f t="shared" si="31"/>
        <v>12.98453104250001</v>
      </c>
      <c r="EX16" s="108">
        <f t="shared" si="31"/>
        <v>14.030930550125005</v>
      </c>
      <c r="EY16" s="64"/>
      <c r="EZ16" s="34"/>
      <c r="FA16" s="34"/>
      <c r="FB16" s="299"/>
      <c r="FC16" s="264"/>
      <c r="FD16" s="264"/>
      <c r="FE16" s="264"/>
      <c r="FF16" s="264"/>
      <c r="FG16" s="264"/>
      <c r="FH16" s="264"/>
      <c r="FI16" s="264"/>
      <c r="FJ16" s="264"/>
      <c r="FK16" s="264"/>
      <c r="FL16" s="43"/>
      <c r="FM16" s="34"/>
      <c r="FN16" s="517" t="s">
        <v>535</v>
      </c>
      <c r="FO16" s="518"/>
      <c r="FP16" s="518"/>
      <c r="FQ16" s="518"/>
      <c r="FR16" s="518"/>
      <c r="FS16" s="518"/>
      <c r="FT16" s="518"/>
      <c r="FU16" s="518"/>
      <c r="FV16" s="518"/>
      <c r="FW16" s="518"/>
      <c r="FX16" s="519"/>
      <c r="FY16" s="34"/>
      <c r="FZ16" s="41">
        <v>3</v>
      </c>
      <c r="GA16" s="41"/>
      <c r="GB16" s="41" t="s">
        <v>215</v>
      </c>
      <c r="GC16" s="44"/>
      <c r="GD16" s="41">
        <v>200</v>
      </c>
      <c r="GE16" s="41">
        <v>3500</v>
      </c>
      <c r="GF16" s="50">
        <f t="shared" si="26"/>
        <v>7</v>
      </c>
      <c r="GG16" s="50"/>
      <c r="GH16" s="50"/>
      <c r="GI16" s="50"/>
      <c r="GJ16" s="34"/>
      <c r="GK16" s="41">
        <v>1</v>
      </c>
      <c r="GL16" s="43" t="s">
        <v>232</v>
      </c>
      <c r="GM16" s="57"/>
      <c r="GN16" s="57"/>
      <c r="GO16" s="57" t="s">
        <v>233</v>
      </c>
      <c r="GP16" s="57"/>
      <c r="GQ16" s="57"/>
      <c r="GR16" s="57"/>
      <c r="GS16" s="57"/>
      <c r="GT16" s="57"/>
      <c r="GU16" s="57"/>
      <c r="GV16" s="43"/>
      <c r="GW16" s="34"/>
      <c r="GX16" s="34"/>
      <c r="GY16" s="301"/>
      <c r="GZ16" s="302"/>
      <c r="HA16" s="44"/>
      <c r="HB16" s="41"/>
      <c r="HC16" s="41"/>
      <c r="HD16" s="50"/>
      <c r="HE16" s="51"/>
      <c r="HF16" s="51"/>
      <c r="HG16" s="51"/>
      <c r="HH16" s="51"/>
      <c r="HI16" s="34"/>
      <c r="HJ16" s="43"/>
      <c r="HK16" s="41" t="s">
        <v>265</v>
      </c>
      <c r="HL16" s="50">
        <f>+AI17</f>
        <v>3.12</v>
      </c>
      <c r="HM16" s="42"/>
      <c r="HN16" s="34"/>
      <c r="HO16" s="34"/>
      <c r="HP16" s="105">
        <v>4</v>
      </c>
      <c r="HQ16" s="68" t="s">
        <v>276</v>
      </c>
      <c r="HR16" s="137">
        <f>+AN37+AN41</f>
        <v>1.7699999999999998</v>
      </c>
      <c r="HS16" s="137">
        <f>+AO37+AO41</f>
        <v>1.6914999999999998</v>
      </c>
      <c r="HT16" s="137">
        <f>+AP37+AP41</f>
        <v>1.6169249999999997</v>
      </c>
      <c r="HU16" s="34"/>
      <c r="HV16" s="81"/>
      <c r="HW16" s="81"/>
      <c r="HX16" s="81">
        <v>9</v>
      </c>
      <c r="HY16" s="81" t="s">
        <v>277</v>
      </c>
      <c r="HZ16" s="84"/>
      <c r="IA16" s="84"/>
      <c r="IB16" s="81"/>
      <c r="IC16" s="81"/>
      <c r="ID16" s="81"/>
      <c r="IE16" s="81"/>
      <c r="IF16" s="81"/>
      <c r="IG16" s="81"/>
      <c r="IH16" s="81"/>
      <c r="II16" s="81"/>
      <c r="IJ16" s="81"/>
    </row>
    <row r="17" spans="1:244" s="233" customFormat="1" ht="17.25" thickBot="1">
      <c r="A17" s="34"/>
      <c r="B17" s="384"/>
      <c r="C17" s="42"/>
      <c r="D17" s="73"/>
      <c r="E17" s="119"/>
      <c r="F17" s="385"/>
      <c r="G17" s="57"/>
      <c r="H17" s="41"/>
      <c r="I17" s="41"/>
      <c r="J17" s="50"/>
      <c r="K17" s="50"/>
      <c r="L17" s="95"/>
      <c r="M17" s="50"/>
      <c r="N17" s="41"/>
      <c r="O17" s="34"/>
      <c r="P17" s="41">
        <f>+P15+1</f>
        <v>3</v>
      </c>
      <c r="Q17" s="56" t="s">
        <v>368</v>
      </c>
      <c r="R17" s="50">
        <v>0.25</v>
      </c>
      <c r="S17" s="99">
        <v>0.25</v>
      </c>
      <c r="T17" s="115">
        <f>AG$42*$R17/12</f>
        <v>2.3218125000000005</v>
      </c>
      <c r="U17" s="50">
        <f>+T17-V17</f>
        <v>1.7413593750000005</v>
      </c>
      <c r="V17" s="50">
        <f>T17*$S17</f>
        <v>0.5804531250000001</v>
      </c>
      <c r="W17" s="115">
        <f>AH$42*$R17/12</f>
        <v>2.7053125</v>
      </c>
      <c r="X17" s="50">
        <f>+W17-Y17</f>
        <v>2.028984375</v>
      </c>
      <c r="Y17" s="50">
        <f>W17*$S17</f>
        <v>0.676328125</v>
      </c>
      <c r="Z17" s="115">
        <f>AI$42*$R17/12</f>
        <v>3.0892250000000003</v>
      </c>
      <c r="AA17" s="50">
        <f>+Z17-AB17</f>
        <v>2.31691875</v>
      </c>
      <c r="AB17" s="127">
        <f>Z17*$S17</f>
        <v>0.7723062500000001</v>
      </c>
      <c r="AC17" s="34"/>
      <c r="AD17" s="34"/>
      <c r="AE17" s="41"/>
      <c r="AF17" s="41" t="s">
        <v>321</v>
      </c>
      <c r="AG17" s="50">
        <f>(BL25+BL26)*10/10000000</f>
        <v>2.34</v>
      </c>
      <c r="AH17" s="50">
        <f>(BM25+BM26)*10/10000000</f>
        <v>2.73</v>
      </c>
      <c r="AI17" s="50">
        <f>(BN25+BN26)*10/10000000</f>
        <v>3.12</v>
      </c>
      <c r="AJ17" s="34"/>
      <c r="AK17" s="276"/>
      <c r="AL17" s="41"/>
      <c r="AM17" s="107" t="s">
        <v>299</v>
      </c>
      <c r="AN17" s="108">
        <f aca="true" t="shared" si="32" ref="AN17:AU17">SUM(AN11:AN16)</f>
        <v>1.44</v>
      </c>
      <c r="AO17" s="108">
        <f t="shared" si="32"/>
        <v>1.584</v>
      </c>
      <c r="AP17" s="108">
        <f t="shared" si="32"/>
        <v>1.7424000000000002</v>
      </c>
      <c r="AQ17" s="108">
        <f>SUM(AQ11:AQ16)</f>
        <v>1.9166400000000003</v>
      </c>
      <c r="AR17" s="108">
        <f t="shared" si="32"/>
        <v>2.1083040000000004</v>
      </c>
      <c r="AS17" s="108">
        <f t="shared" si="32"/>
        <v>2.3191344000000007</v>
      </c>
      <c r="AT17" s="108">
        <f t="shared" si="32"/>
        <v>2.551047840000001</v>
      </c>
      <c r="AU17" s="108">
        <f t="shared" si="32"/>
        <v>2.8061526240000014</v>
      </c>
      <c r="AV17" s="34"/>
      <c r="AW17" s="41"/>
      <c r="AX17" s="41"/>
      <c r="AY17" s="50"/>
      <c r="AZ17" s="50"/>
      <c r="BA17" s="50"/>
      <c r="BB17" s="50"/>
      <c r="BC17" s="50"/>
      <c r="BD17" s="50"/>
      <c r="BE17" s="50"/>
      <c r="BF17" s="50"/>
      <c r="BG17" s="64"/>
      <c r="BH17" s="34"/>
      <c r="BI17" s="41"/>
      <c r="BJ17" s="41"/>
      <c r="BK17" s="41"/>
      <c r="BL17" s="41"/>
      <c r="BM17" s="41"/>
      <c r="BN17" s="41"/>
      <c r="BO17" s="34"/>
      <c r="BP17" s="34"/>
      <c r="BQ17" s="41">
        <f>+BQ15+1</f>
        <v>5</v>
      </c>
      <c r="BR17" s="41" t="s">
        <v>301</v>
      </c>
      <c r="BS17" s="396"/>
      <c r="BT17" s="484">
        <f>+CG18</f>
        <v>24.664078124999996</v>
      </c>
      <c r="BU17" s="76">
        <f>+X28-U28</f>
        <v>4.1028750000000045</v>
      </c>
      <c r="BV17" s="76">
        <f>CI18-CH18</f>
        <v>4.103803125000006</v>
      </c>
      <c r="BW17" s="76">
        <f>+CJ18-CI18</f>
        <v>0</v>
      </c>
      <c r="BX17" s="76">
        <f>+CK18-CJ18</f>
        <v>0</v>
      </c>
      <c r="BY17" s="76">
        <f>+CL18-CK18</f>
        <v>0</v>
      </c>
      <c r="BZ17" s="76">
        <f>+CM18-CL18</f>
        <v>0</v>
      </c>
      <c r="CA17" s="76">
        <f>+CN18-CM18</f>
        <v>0</v>
      </c>
      <c r="CB17" s="64"/>
      <c r="CC17" s="34"/>
      <c r="CD17" s="41"/>
      <c r="CE17" s="41" t="s">
        <v>281</v>
      </c>
      <c r="CF17" s="474">
        <f>BS13</f>
        <v>0</v>
      </c>
      <c r="CG17" s="50">
        <f>+DX11</f>
        <v>19.9</v>
      </c>
      <c r="CH17" s="50">
        <f>DX16</f>
        <v>16.583333333333336</v>
      </c>
      <c r="CI17" s="50">
        <f>+DX21</f>
        <v>13.266666666666673</v>
      </c>
      <c r="CJ17" s="50">
        <f>+DX26</f>
        <v>9.95000000000001</v>
      </c>
      <c r="CK17" s="50">
        <f>+DX31</f>
        <v>6.633333333333345</v>
      </c>
      <c r="CL17" s="50">
        <f>+DX36</f>
        <v>3.316666666666679</v>
      </c>
      <c r="CM17" s="50">
        <f>+DX41</f>
        <v>1.2434497875801753E-14</v>
      </c>
      <c r="CN17" s="50">
        <f>+CM17</f>
        <v>1.2434497875801753E-14</v>
      </c>
      <c r="CO17" s="64"/>
      <c r="CP17" s="34"/>
      <c r="CQ17" s="34"/>
      <c r="CR17" s="45"/>
      <c r="CS17" s="45"/>
      <c r="CT17" s="420">
        <f>SUM(CT8:CT16)</f>
        <v>28.3</v>
      </c>
      <c r="CU17" s="112"/>
      <c r="CV17" s="420">
        <f>SUM(CV8:CV16)</f>
        <v>1.5699999999999998</v>
      </c>
      <c r="CW17" s="34"/>
      <c r="CX17" s="44">
        <f>+CX15+1</f>
        <v>4</v>
      </c>
      <c r="CY17" s="43" t="str">
        <f aca="true" t="shared" si="33" ref="CY17:DD17">+CY11</f>
        <v>Interest on Term Loan </v>
      </c>
      <c r="CZ17" s="51">
        <f t="shared" si="33"/>
        <v>1.7909999999999997</v>
      </c>
      <c r="DA17" s="51">
        <f t="shared" si="33"/>
        <v>1.6790625</v>
      </c>
      <c r="DB17" s="51">
        <f t="shared" si="33"/>
        <v>1.3805625000000001</v>
      </c>
      <c r="DC17" s="51">
        <f t="shared" si="33"/>
        <v>1.0820625000000006</v>
      </c>
      <c r="DD17" s="51">
        <f t="shared" si="33"/>
        <v>0.7835625000000009</v>
      </c>
      <c r="DE17" s="51">
        <f>+DE11</f>
        <v>0.485062500000001</v>
      </c>
      <c r="DF17" s="51">
        <f>+DF11</f>
        <v>0.18656250000000113</v>
      </c>
      <c r="DG17" s="51">
        <f>+DG11</f>
        <v>0</v>
      </c>
      <c r="DH17" s="64"/>
      <c r="DI17" s="34"/>
      <c r="DJ17" s="34"/>
      <c r="DK17" s="42" t="str">
        <f t="shared" si="22"/>
        <v>Depreciation  -</v>
      </c>
      <c r="DL17" s="43" t="str">
        <f>+CJ7</f>
        <v>2025-26</v>
      </c>
      <c r="DM17" s="41">
        <f>ROUND(DM16*DM$9,2)</f>
        <v>0.64</v>
      </c>
      <c r="DN17" s="41">
        <f>ROUND(DN16*$DN$9,2)</f>
        <v>1.01</v>
      </c>
      <c r="DO17" s="41">
        <f>ROUND(DO16*$DO$9,2)</f>
        <v>0.2</v>
      </c>
      <c r="DP17" s="41">
        <f>SUM(DM17:DO17)</f>
        <v>1.8499999999999999</v>
      </c>
      <c r="DQ17" s="34"/>
      <c r="DR17" s="34"/>
      <c r="DS17" s="106"/>
      <c r="DT17" s="106"/>
      <c r="DU17" s="108"/>
      <c r="DV17" s="489">
        <f>SUM(DV13:DV16)</f>
        <v>1.6790625</v>
      </c>
      <c r="DW17" s="489">
        <f>SUM(DW13:DW16)</f>
        <v>3.3166666666666664</v>
      </c>
      <c r="DX17" s="108"/>
      <c r="DY17" s="64"/>
      <c r="DZ17" s="41"/>
      <c r="EA17" s="41"/>
      <c r="EB17" s="50"/>
      <c r="EC17" s="108"/>
      <c r="ED17" s="108"/>
      <c r="EE17" s="50"/>
      <c r="EF17" s="64"/>
      <c r="EG17" s="64"/>
      <c r="EH17" s="64"/>
      <c r="EI17" s="34"/>
      <c r="EJ17" s="50"/>
      <c r="EK17" s="50"/>
      <c r="EL17" s="41"/>
      <c r="EM17" s="41"/>
      <c r="EN17" s="43"/>
      <c r="EO17" s="34"/>
      <c r="EP17" s="41" t="s">
        <v>283</v>
      </c>
      <c r="EQ17" s="50">
        <v>0</v>
      </c>
      <c r="ER17" s="50">
        <f aca="true" t="shared" si="34" ref="ER17:EX17">+EQ18</f>
        <v>0</v>
      </c>
      <c r="ES17" s="50">
        <f t="shared" si="34"/>
        <v>0</v>
      </c>
      <c r="ET17" s="50">
        <f t="shared" si="34"/>
        <v>0</v>
      </c>
      <c r="EU17" s="50">
        <f t="shared" si="34"/>
        <v>0</v>
      </c>
      <c r="EV17" s="50">
        <f t="shared" si="34"/>
        <v>0</v>
      </c>
      <c r="EW17" s="50">
        <f t="shared" si="34"/>
        <v>0</v>
      </c>
      <c r="EX17" s="50">
        <f t="shared" si="34"/>
        <v>0</v>
      </c>
      <c r="EY17" s="64"/>
      <c r="EZ17" s="34"/>
      <c r="FA17" s="34"/>
      <c r="FB17" s="299"/>
      <c r="FC17" s="264"/>
      <c r="FD17" s="264"/>
      <c r="FE17" s="264"/>
      <c r="FF17" s="264"/>
      <c r="FG17" s="264"/>
      <c r="FH17" s="264"/>
      <c r="FI17" s="264"/>
      <c r="FJ17" s="264"/>
      <c r="FK17" s="264"/>
      <c r="FL17" s="43"/>
      <c r="FM17" s="34"/>
      <c r="FN17" s="41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34"/>
      <c r="FZ17" s="41"/>
      <c r="GA17" s="41"/>
      <c r="GB17" s="41"/>
      <c r="GC17" s="44"/>
      <c r="GD17" s="41"/>
      <c r="GE17" s="41"/>
      <c r="GF17" s="50" t="s">
        <v>0</v>
      </c>
      <c r="GG17" s="50"/>
      <c r="GH17" s="50"/>
      <c r="GI17" s="50"/>
      <c r="GJ17" s="34"/>
      <c r="GK17" s="45">
        <v>2</v>
      </c>
      <c r="GL17" s="47" t="s">
        <v>243</v>
      </c>
      <c r="GM17" s="62"/>
      <c r="GN17" s="62"/>
      <c r="GO17" s="62"/>
      <c r="GP17" s="62"/>
      <c r="GQ17" s="62"/>
      <c r="GR17" s="62"/>
      <c r="GS17" s="62"/>
      <c r="GT17" s="62"/>
      <c r="GU17" s="62"/>
      <c r="GV17" s="47"/>
      <c r="GW17" s="34"/>
      <c r="GX17" s="34"/>
      <c r="GY17" s="41" t="s">
        <v>263</v>
      </c>
      <c r="GZ17" s="43" t="s">
        <v>284</v>
      </c>
      <c r="HA17" s="44"/>
      <c r="HB17" s="41"/>
      <c r="HC17" s="41"/>
      <c r="HD17" s="50"/>
      <c r="HE17" s="51"/>
      <c r="HF17" s="51"/>
      <c r="HG17" s="51"/>
      <c r="HH17" s="51"/>
      <c r="HI17" s="34"/>
      <c r="HJ17" s="43"/>
      <c r="HK17" s="56" t="s">
        <v>275</v>
      </c>
      <c r="HL17" s="50">
        <f>+AI23</f>
        <v>1.4520000000000002</v>
      </c>
      <c r="HM17" s="42"/>
      <c r="HN17" s="34"/>
      <c r="HO17" s="34"/>
      <c r="HP17" s="105"/>
      <c r="HQ17" s="68"/>
      <c r="HR17" s="68"/>
      <c r="HS17" s="68"/>
      <c r="HT17" s="68"/>
      <c r="HU17" s="34"/>
      <c r="HV17" s="81"/>
      <c r="HW17" s="81"/>
      <c r="HX17" s="81">
        <v>10</v>
      </c>
      <c r="HY17" s="81" t="s">
        <v>286</v>
      </c>
      <c r="HZ17" s="84"/>
      <c r="IA17" s="84"/>
      <c r="IB17" s="81"/>
      <c r="IC17" s="81"/>
      <c r="ID17" s="81"/>
      <c r="IE17" s="81"/>
      <c r="IF17" s="81"/>
      <c r="IG17" s="81"/>
      <c r="IH17" s="81"/>
      <c r="II17" s="81"/>
      <c r="IJ17" s="81"/>
    </row>
    <row r="18" spans="1:244" s="233" customFormat="1" ht="17.25" thickTop="1">
      <c r="A18" s="34"/>
      <c r="B18" s="384">
        <v>6</v>
      </c>
      <c r="C18" s="42" t="s">
        <v>568</v>
      </c>
      <c r="D18" s="73"/>
      <c r="E18" s="119"/>
      <c r="F18" s="385">
        <f>+M23</f>
        <v>2.4000000000000004</v>
      </c>
      <c r="G18" s="57"/>
      <c r="H18" s="41">
        <v>4</v>
      </c>
      <c r="I18" s="41" t="s">
        <v>259</v>
      </c>
      <c r="J18" s="76">
        <v>0</v>
      </c>
      <c r="K18" s="50">
        <f>F14</f>
        <v>2</v>
      </c>
      <c r="L18" s="93">
        <v>0.1</v>
      </c>
      <c r="M18" s="50">
        <f>K18*L18</f>
        <v>0.2</v>
      </c>
      <c r="N18" s="41"/>
      <c r="O18" s="34"/>
      <c r="P18" s="41"/>
      <c r="Q18" s="41" t="s">
        <v>380</v>
      </c>
      <c r="R18" s="50"/>
      <c r="S18" s="99"/>
      <c r="T18" s="115"/>
      <c r="U18" s="50"/>
      <c r="V18" s="50"/>
      <c r="W18" s="115"/>
      <c r="X18" s="50"/>
      <c r="Y18" s="50"/>
      <c r="Z18" s="115"/>
      <c r="AA18" s="50"/>
      <c r="AB18" s="127"/>
      <c r="AC18" s="34"/>
      <c r="AD18" s="275"/>
      <c r="AE18" s="41"/>
      <c r="AF18" s="41"/>
      <c r="AG18" s="50"/>
      <c r="AH18" s="50"/>
      <c r="AI18" s="50"/>
      <c r="AJ18" s="34"/>
      <c r="AK18" s="276">
        <v>0.05</v>
      </c>
      <c r="AL18" s="41"/>
      <c r="AM18" s="41"/>
      <c r="AN18" s="50"/>
      <c r="AO18" s="50"/>
      <c r="AP18" s="50"/>
      <c r="AQ18" s="50"/>
      <c r="AR18" s="50"/>
      <c r="AS18" s="50"/>
      <c r="AT18" s="50"/>
      <c r="AU18" s="50"/>
      <c r="AV18" s="34"/>
      <c r="AW18" s="41" t="s">
        <v>289</v>
      </c>
      <c r="AX18" s="41" t="s">
        <v>118</v>
      </c>
      <c r="AY18" s="108">
        <f aca="true" t="shared" si="35" ref="AY18:BF18">+AY12+AY16+AY15</f>
        <v>5.745018383437483</v>
      </c>
      <c r="AZ18" s="108">
        <f t="shared" si="35"/>
        <v>6.962182279687495</v>
      </c>
      <c r="BA18" s="108">
        <f t="shared" si="35"/>
        <v>8.315300714624989</v>
      </c>
      <c r="BB18" s="108">
        <f t="shared" si="35"/>
        <v>8.922329814625007</v>
      </c>
      <c r="BC18" s="108">
        <f t="shared" si="35"/>
        <v>9.558768647125</v>
      </c>
      <c r="BD18" s="108">
        <f t="shared" si="35"/>
        <v>10.168147082750002</v>
      </c>
      <c r="BE18" s="108">
        <f t="shared" si="35"/>
        <v>10.851014299056256</v>
      </c>
      <c r="BF18" s="108">
        <f t="shared" si="35"/>
        <v>11.477965933467816</v>
      </c>
      <c r="BG18" s="64"/>
      <c r="BH18" s="34"/>
      <c r="BI18" s="41"/>
      <c r="BJ18" s="41"/>
      <c r="BK18" s="41"/>
      <c r="BL18" s="41"/>
      <c r="BM18" s="41"/>
      <c r="BN18" s="41"/>
      <c r="BO18" s="34"/>
      <c r="BP18" s="34"/>
      <c r="BQ18" s="41"/>
      <c r="BR18" s="41" t="s">
        <v>308</v>
      </c>
      <c r="BS18" s="396"/>
      <c r="BT18" s="50"/>
      <c r="BU18" s="50"/>
      <c r="BV18" s="50"/>
      <c r="BW18" s="50"/>
      <c r="BX18" s="50"/>
      <c r="BY18" s="50"/>
      <c r="BZ18" s="50"/>
      <c r="CA18" s="50"/>
      <c r="CB18" s="64"/>
      <c r="CC18" s="34"/>
      <c r="CD18" s="41"/>
      <c r="CE18" s="41" t="s">
        <v>291</v>
      </c>
      <c r="CF18" s="476">
        <v>0</v>
      </c>
      <c r="CG18" s="50">
        <f>+U28</f>
        <v>24.664078124999996</v>
      </c>
      <c r="CH18" s="50">
        <f>+X28-U28+CG18</f>
        <v>28.766953125</v>
      </c>
      <c r="CI18" s="50">
        <f>AA28</f>
        <v>32.87075625000001</v>
      </c>
      <c r="CJ18" s="50">
        <f>+CI18</f>
        <v>32.87075625000001</v>
      </c>
      <c r="CK18" s="50">
        <f>+CJ18</f>
        <v>32.87075625000001</v>
      </c>
      <c r="CL18" s="50">
        <f>+CK18</f>
        <v>32.87075625000001</v>
      </c>
      <c r="CM18" s="50">
        <f>+CL18</f>
        <v>32.87075625000001</v>
      </c>
      <c r="CN18" s="50">
        <f>+CM18</f>
        <v>32.87075625000001</v>
      </c>
      <c r="CO18" s="64"/>
      <c r="CP18" s="34"/>
      <c r="CQ18" s="34"/>
      <c r="CR18" s="34"/>
      <c r="CS18" s="34"/>
      <c r="CT18" s="34"/>
      <c r="CU18" s="34"/>
      <c r="CV18" s="34"/>
      <c r="CW18" s="34"/>
      <c r="CX18" s="44"/>
      <c r="CY18" s="43"/>
      <c r="CZ18" s="51"/>
      <c r="DA18" s="51"/>
      <c r="DB18" s="51"/>
      <c r="DC18" s="51"/>
      <c r="DD18" s="51"/>
      <c r="DE18" s="51"/>
      <c r="DF18" s="51"/>
      <c r="DG18" s="51"/>
      <c r="DH18" s="64"/>
      <c r="DI18" s="34"/>
      <c r="DJ18" s="34"/>
      <c r="DK18" s="42" t="str">
        <f t="shared" si="22"/>
        <v>W D V</v>
      </c>
      <c r="DL18" s="43"/>
      <c r="DM18" s="39">
        <f>+DM16-DM17</f>
        <v>5.780000000000001</v>
      </c>
      <c r="DN18" s="39">
        <f>+DN16-DN17</f>
        <v>5.75</v>
      </c>
      <c r="DO18" s="39">
        <f>+DO16-DO17</f>
        <v>1.1500000000000001</v>
      </c>
      <c r="DP18" s="39">
        <f>+DP16-DP17</f>
        <v>12.680000000000001</v>
      </c>
      <c r="DQ18" s="34"/>
      <c r="DR18" s="34"/>
      <c r="DS18" s="41" t="str">
        <f>+DL15</f>
        <v>2024-25</v>
      </c>
      <c r="DT18" s="41" t="s">
        <v>81</v>
      </c>
      <c r="DU18" s="50">
        <f>+DX16</f>
        <v>16.583333333333336</v>
      </c>
      <c r="DV18" s="50">
        <f>DU18*DV$6/4</f>
        <v>0.37312500000000004</v>
      </c>
      <c r="DW18" s="126">
        <f>DW13</f>
        <v>0.8291666666666666</v>
      </c>
      <c r="DX18" s="50">
        <f>+DU18-DW18</f>
        <v>15.75416666666667</v>
      </c>
      <c r="DY18" s="64"/>
      <c r="DZ18" s="41" t="str">
        <f>+DS18</f>
        <v>2024-25</v>
      </c>
      <c r="EA18" s="41" t="s">
        <v>81</v>
      </c>
      <c r="EB18" s="50"/>
      <c r="EC18" s="50"/>
      <c r="ED18" s="126"/>
      <c r="EE18" s="50"/>
      <c r="EF18" s="64"/>
      <c r="EG18" s="64"/>
      <c r="EH18" s="64"/>
      <c r="EI18" s="34"/>
      <c r="EJ18" s="126"/>
      <c r="EK18" s="50"/>
      <c r="EL18" s="41"/>
      <c r="EM18" s="41"/>
      <c r="EN18" s="43"/>
      <c r="EO18" s="34"/>
      <c r="EP18" s="41" t="s">
        <v>292</v>
      </c>
      <c r="EQ18" s="50">
        <f aca="true" t="shared" si="36" ref="EQ18:EX18">IF((EQ16+EQ17)&lt;0,(EQ16+EQ17),0)</f>
        <v>0</v>
      </c>
      <c r="ER18" s="50">
        <f t="shared" si="36"/>
        <v>0</v>
      </c>
      <c r="ES18" s="50">
        <f t="shared" si="36"/>
        <v>0</v>
      </c>
      <c r="ET18" s="50">
        <f t="shared" si="36"/>
        <v>0</v>
      </c>
      <c r="EU18" s="50">
        <f t="shared" si="36"/>
        <v>0</v>
      </c>
      <c r="EV18" s="50">
        <f t="shared" si="36"/>
        <v>0</v>
      </c>
      <c r="EW18" s="50">
        <f t="shared" si="36"/>
        <v>0</v>
      </c>
      <c r="EX18" s="50">
        <f t="shared" si="36"/>
        <v>0</v>
      </c>
      <c r="EY18" s="64"/>
      <c r="EZ18" s="34"/>
      <c r="FA18" s="34"/>
      <c r="FB18" s="299"/>
      <c r="FC18" s="264"/>
      <c r="FD18" s="264"/>
      <c r="FE18" s="264"/>
      <c r="FF18" s="264"/>
      <c r="FG18" s="264"/>
      <c r="FH18" s="264"/>
      <c r="FI18" s="264"/>
      <c r="FJ18" s="264"/>
      <c r="FK18" s="264"/>
      <c r="FL18" s="43"/>
      <c r="FM18" s="34"/>
      <c r="FN18" s="30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42"/>
      <c r="FZ18" s="41">
        <f>FZ16+1</f>
        <v>4</v>
      </c>
      <c r="GA18" s="41"/>
      <c r="GB18" s="41" t="s">
        <v>215</v>
      </c>
      <c r="GC18" s="44"/>
      <c r="GD18" s="41">
        <v>150</v>
      </c>
      <c r="GE18" s="41">
        <v>3500</v>
      </c>
      <c r="GF18" s="50">
        <f t="shared" si="26"/>
        <v>5.25</v>
      </c>
      <c r="GG18" s="50"/>
      <c r="GH18" s="50"/>
      <c r="GI18" s="50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41">
        <v>1</v>
      </c>
      <c r="GZ18" s="43" t="s">
        <v>232</v>
      </c>
      <c r="HA18" s="44"/>
      <c r="HB18" s="41"/>
      <c r="HC18" s="41"/>
      <c r="HD18" s="50"/>
      <c r="HE18" s="51"/>
      <c r="HF18" s="51"/>
      <c r="HG18" s="51"/>
      <c r="HH18" s="51"/>
      <c r="HI18" s="34"/>
      <c r="HJ18" s="43"/>
      <c r="HK18" s="41" t="s">
        <v>285</v>
      </c>
      <c r="HL18" s="50">
        <f>+AI33</f>
        <v>0.9438000000000001</v>
      </c>
      <c r="HM18" s="42"/>
      <c r="HN18" s="34"/>
      <c r="HO18" s="34"/>
      <c r="HP18" s="105">
        <v>5</v>
      </c>
      <c r="HQ18" s="68" t="s">
        <v>295</v>
      </c>
      <c r="HR18" s="137">
        <f>+AY5</f>
        <v>0.931167991562494</v>
      </c>
      <c r="HS18" s="137">
        <f>+AZ5</f>
        <v>1.4885345953124982</v>
      </c>
      <c r="HT18" s="137">
        <f>+BA5</f>
        <v>2.072242335374996</v>
      </c>
      <c r="HU18" s="34"/>
      <c r="HV18" s="81"/>
      <c r="HW18" s="81"/>
      <c r="HX18" s="81">
        <v>11</v>
      </c>
      <c r="HY18" s="81" t="s">
        <v>296</v>
      </c>
      <c r="HZ18" s="84"/>
      <c r="IA18" s="84"/>
      <c r="IB18" s="81"/>
      <c r="IC18" s="81"/>
      <c r="ID18" s="81"/>
      <c r="IE18" s="81"/>
      <c r="IF18" s="81"/>
      <c r="IG18" s="81"/>
      <c r="IH18" s="81"/>
      <c r="II18" s="81"/>
      <c r="IJ18" s="81"/>
    </row>
    <row r="19" spans="1:244" s="233" customFormat="1" ht="16.5">
      <c r="A19" s="34"/>
      <c r="B19" s="384"/>
      <c r="C19" s="42"/>
      <c r="D19" s="73"/>
      <c r="E19" s="119"/>
      <c r="F19" s="385"/>
      <c r="G19" s="57"/>
      <c r="H19" s="41"/>
      <c r="I19" s="41"/>
      <c r="J19" s="50"/>
      <c r="K19" s="50"/>
      <c r="L19" s="95"/>
      <c r="M19" s="50" t="s">
        <v>0</v>
      </c>
      <c r="N19" s="41"/>
      <c r="O19" s="34"/>
      <c r="P19" s="41">
        <f>+P17+1</f>
        <v>4</v>
      </c>
      <c r="Q19" s="41"/>
      <c r="R19" s="50"/>
      <c r="S19" s="99"/>
      <c r="T19" s="115"/>
      <c r="U19" s="50"/>
      <c r="V19" s="50"/>
      <c r="W19" s="115"/>
      <c r="X19" s="50"/>
      <c r="Y19" s="50"/>
      <c r="Z19" s="115"/>
      <c r="AA19" s="50"/>
      <c r="AB19" s="127"/>
      <c r="AC19" s="34"/>
      <c r="AD19" s="34"/>
      <c r="AE19" s="41"/>
      <c r="AF19" s="107" t="s">
        <v>338</v>
      </c>
      <c r="AG19" s="108">
        <f>SUM(AG9:AG18)</f>
        <v>108.54</v>
      </c>
      <c r="AH19" s="108">
        <f>SUM(AH9:AH18)</f>
        <v>126.63000000000001</v>
      </c>
      <c r="AI19" s="108">
        <f>SUM(AI9:AI18)</f>
        <v>144.72</v>
      </c>
      <c r="AJ19" s="34"/>
      <c r="AK19" s="34"/>
      <c r="AL19" s="41" t="s">
        <v>537</v>
      </c>
      <c r="AM19" s="41" t="s">
        <v>331</v>
      </c>
      <c r="AN19" s="50">
        <f>+AN25*5%</f>
        <v>6.48</v>
      </c>
      <c r="AO19" s="50">
        <f aca="true" t="shared" si="37" ref="AO19:AU19">+AO25*5%</f>
        <v>7.56</v>
      </c>
      <c r="AP19" s="50">
        <f t="shared" si="37"/>
        <v>8.64</v>
      </c>
      <c r="AQ19" s="50">
        <f t="shared" si="37"/>
        <v>9.072000000000001</v>
      </c>
      <c r="AR19" s="50">
        <f t="shared" si="37"/>
        <v>9.525600000000003</v>
      </c>
      <c r="AS19" s="50">
        <f t="shared" si="37"/>
        <v>10.001880000000002</v>
      </c>
      <c r="AT19" s="486">
        <f t="shared" si="37"/>
        <v>10.501974000000002</v>
      </c>
      <c r="AU19" s="50">
        <f t="shared" si="37"/>
        <v>11.027072700000003</v>
      </c>
      <c r="AV19" s="34"/>
      <c r="AW19" s="41"/>
      <c r="AX19" s="41"/>
      <c r="AY19" s="50"/>
      <c r="AZ19" s="50"/>
      <c r="BA19" s="50"/>
      <c r="BB19" s="50"/>
      <c r="BC19" s="50"/>
      <c r="BD19" s="50"/>
      <c r="BE19" s="50"/>
      <c r="BF19" s="50"/>
      <c r="BG19" s="64"/>
      <c r="BH19" s="34"/>
      <c r="BI19" s="41">
        <f>+BI16+1</f>
        <v>4</v>
      </c>
      <c r="BJ19" s="103" t="s">
        <v>300</v>
      </c>
      <c r="BK19" s="41"/>
      <c r="BL19" s="41"/>
      <c r="BM19" s="41"/>
      <c r="BN19" s="41"/>
      <c r="BO19" s="34"/>
      <c r="BP19" s="34"/>
      <c r="BQ19" s="41"/>
      <c r="BR19" s="41" t="s">
        <v>315</v>
      </c>
      <c r="BS19" s="396"/>
      <c r="BT19" s="50"/>
      <c r="BU19" s="50"/>
      <c r="BV19" s="50"/>
      <c r="BW19" s="50"/>
      <c r="BX19" s="50"/>
      <c r="BY19" s="50"/>
      <c r="BZ19" s="50"/>
      <c r="CA19" s="50"/>
      <c r="CB19" s="64"/>
      <c r="CC19" s="34"/>
      <c r="CD19" s="41"/>
      <c r="CE19" s="41"/>
      <c r="CF19" s="475">
        <f aca="true" t="shared" si="38" ref="CF19:CN19">SUM(CF17:CF18)</f>
        <v>0</v>
      </c>
      <c r="CG19" s="108">
        <f t="shared" si="38"/>
        <v>44.564078124999995</v>
      </c>
      <c r="CH19" s="108">
        <f t="shared" si="38"/>
        <v>45.350286458333336</v>
      </c>
      <c r="CI19" s="108">
        <f t="shared" si="38"/>
        <v>46.13742291666668</v>
      </c>
      <c r="CJ19" s="108">
        <f t="shared" si="38"/>
        <v>42.82075625000002</v>
      </c>
      <c r="CK19" s="108">
        <f t="shared" si="38"/>
        <v>39.504089583333354</v>
      </c>
      <c r="CL19" s="108">
        <f t="shared" si="38"/>
        <v>36.187422916666684</v>
      </c>
      <c r="CM19" s="108">
        <f t="shared" si="38"/>
        <v>32.87075625000002</v>
      </c>
      <c r="CN19" s="108">
        <f t="shared" si="38"/>
        <v>32.87075625000002</v>
      </c>
      <c r="CO19" s="64"/>
      <c r="CP19" s="34"/>
      <c r="CQ19" s="34"/>
      <c r="CR19" s="34"/>
      <c r="CS19" s="34"/>
      <c r="CT19" s="260"/>
      <c r="CU19" s="34"/>
      <c r="CV19" s="34"/>
      <c r="CW19" s="34"/>
      <c r="CX19" s="44"/>
      <c r="CY19" s="119" t="s">
        <v>302</v>
      </c>
      <c r="CZ19" s="236">
        <f aca="true" t="shared" si="39" ref="CZ19:DG19">SUM(CZ14:CZ18)</f>
        <v>1.7909999999999997</v>
      </c>
      <c r="DA19" s="236">
        <f t="shared" si="39"/>
        <v>4.995729166666666</v>
      </c>
      <c r="DB19" s="236">
        <f t="shared" si="39"/>
        <v>4.697229166666666</v>
      </c>
      <c r="DC19" s="236">
        <f t="shared" si="39"/>
        <v>4.3987291666666675</v>
      </c>
      <c r="DD19" s="236">
        <f t="shared" si="39"/>
        <v>4.100229166666668</v>
      </c>
      <c r="DE19" s="236">
        <f t="shared" si="39"/>
        <v>3.8017291666666675</v>
      </c>
      <c r="DF19" s="236">
        <f t="shared" si="39"/>
        <v>3.5032291666666677</v>
      </c>
      <c r="DG19" s="236">
        <f t="shared" si="39"/>
        <v>0</v>
      </c>
      <c r="DH19" s="64"/>
      <c r="DI19" s="34"/>
      <c r="DJ19" s="34"/>
      <c r="DK19" s="42" t="str">
        <f t="shared" si="22"/>
        <v>Depreciation  -</v>
      </c>
      <c r="DL19" s="43" t="str">
        <f>+CK7</f>
        <v>2026-27</v>
      </c>
      <c r="DM19" s="41">
        <f>ROUND(DM18*DM$9,2)</f>
        <v>0.58</v>
      </c>
      <c r="DN19" s="41">
        <f>ROUND(DN18*$DN$9,2)</f>
        <v>0.86</v>
      </c>
      <c r="DO19" s="41">
        <f>ROUND(DO18*$DO$9,2)</f>
        <v>0.17</v>
      </c>
      <c r="DP19" s="41">
        <f>SUM(DM19:DO19)</f>
        <v>1.6099999999999999</v>
      </c>
      <c r="DQ19" s="34"/>
      <c r="DR19" s="34"/>
      <c r="DS19" s="41"/>
      <c r="DT19" s="41" t="s">
        <v>121</v>
      </c>
      <c r="DU19" s="50">
        <f>+DX18</f>
        <v>15.75416666666667</v>
      </c>
      <c r="DV19" s="50">
        <f>DU19*DV$6/4</f>
        <v>0.35446875000000005</v>
      </c>
      <c r="DW19" s="50">
        <f>+DW18</f>
        <v>0.8291666666666666</v>
      </c>
      <c r="DX19" s="50">
        <f>+DU19-DW19</f>
        <v>14.925000000000004</v>
      </c>
      <c r="DY19" s="64"/>
      <c r="DZ19" s="41"/>
      <c r="EA19" s="41" t="s">
        <v>121</v>
      </c>
      <c r="EB19" s="50"/>
      <c r="EC19" s="50"/>
      <c r="ED19" s="50"/>
      <c r="EE19" s="50"/>
      <c r="EF19" s="64"/>
      <c r="EG19" s="64"/>
      <c r="EH19" s="64"/>
      <c r="EI19" s="34"/>
      <c r="EJ19" s="41"/>
      <c r="EK19" s="108"/>
      <c r="EL19" s="41"/>
      <c r="EM19" s="41"/>
      <c r="EN19" s="51"/>
      <c r="EO19" s="34"/>
      <c r="EP19" s="41" t="s">
        <v>303</v>
      </c>
      <c r="EQ19" s="50">
        <f>IF((EQ16+EQ17)&gt;0,(EQ17+EQ16),0)</f>
        <v>3.6161863749999763</v>
      </c>
      <c r="ER19" s="50">
        <f>IF((ER16+ER17)&gt;0,(ER17+ER16),0)</f>
        <v>5.780716874999993</v>
      </c>
      <c r="ES19" s="50">
        <f>IF((ES16+ES17)&gt;0,(ES17+ES16),0)</f>
        <v>8.047543049999984</v>
      </c>
      <c r="ET19" s="50">
        <f>IF((ET16+ET17)&gt;0,(ET17+ET16),0)</f>
        <v>9.255663050000011</v>
      </c>
      <c r="EU19" s="50">
        <f>IF((EU16+EU18)&gt;0,(EU18+EU16),0)</f>
        <v>10.436052050000002</v>
      </c>
      <c r="EV19" s="50">
        <f>IF((EV16+EV18)&gt;0,(EV18+EV16),0)</f>
        <v>11.808952300000001</v>
      </c>
      <c r="EW19" s="50">
        <f>IF((EW16+EW18)&gt;0,(EW18+EW16),0)</f>
        <v>12.98453104250001</v>
      </c>
      <c r="EX19" s="50">
        <f>IF((EX16+EX18)&gt;0,(EX18+EX16),0)</f>
        <v>14.030930550125005</v>
      </c>
      <c r="EY19" s="64"/>
      <c r="EZ19" s="34"/>
      <c r="FA19" s="34"/>
      <c r="FB19" s="120"/>
      <c r="FC19" s="117"/>
      <c r="FD19" s="117"/>
      <c r="FE19" s="117"/>
      <c r="FF19" s="117"/>
      <c r="FG19" s="117"/>
      <c r="FH19" s="117"/>
      <c r="FI19" s="117"/>
      <c r="FJ19" s="117"/>
      <c r="FK19" s="117"/>
      <c r="FL19" s="47"/>
      <c r="FM19" s="34"/>
      <c r="FN19" s="41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34"/>
      <c r="FZ19" s="41"/>
      <c r="GA19" s="41"/>
      <c r="GB19" s="41"/>
      <c r="GC19" s="44"/>
      <c r="GD19" s="41"/>
      <c r="GE19" s="41"/>
      <c r="GF19" s="50" t="s">
        <v>0</v>
      </c>
      <c r="GG19" s="50"/>
      <c r="GH19" s="50"/>
      <c r="GI19" s="50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41">
        <v>2</v>
      </c>
      <c r="GZ19" s="57" t="s">
        <v>243</v>
      </c>
      <c r="HA19" s="44"/>
      <c r="HB19" s="41"/>
      <c r="HC19" s="41"/>
      <c r="HD19" s="50"/>
      <c r="HE19" s="51"/>
      <c r="HF19" s="51"/>
      <c r="HG19" s="51"/>
      <c r="HH19" s="51"/>
      <c r="HI19" s="34"/>
      <c r="HJ19" s="43"/>
      <c r="HK19" s="41" t="s">
        <v>294</v>
      </c>
      <c r="HL19" s="50">
        <f>+AI40</f>
        <v>1.167</v>
      </c>
      <c r="HM19" s="42"/>
      <c r="HN19" s="34"/>
      <c r="HO19" s="34"/>
      <c r="HP19" s="105"/>
      <c r="HQ19" s="68"/>
      <c r="HR19" s="68"/>
      <c r="HS19" s="68"/>
      <c r="HT19" s="68"/>
      <c r="HU19" s="34"/>
      <c r="HV19" s="81"/>
      <c r="HW19" s="81"/>
      <c r="HX19" s="81">
        <v>12</v>
      </c>
      <c r="HY19" s="81" t="s">
        <v>305</v>
      </c>
      <c r="HZ19" s="84"/>
      <c r="IA19" s="84"/>
      <c r="IB19" s="81"/>
      <c r="IC19" s="81"/>
      <c r="ID19" s="81"/>
      <c r="IE19" s="81"/>
      <c r="IF19" s="81"/>
      <c r="IG19" s="81"/>
      <c r="IH19" s="81"/>
      <c r="II19" s="81"/>
      <c r="IJ19" s="81"/>
    </row>
    <row r="20" spans="1:244" s="233" customFormat="1" ht="16.5">
      <c r="A20" s="34"/>
      <c r="B20" s="384">
        <v>7</v>
      </c>
      <c r="C20" s="42" t="s">
        <v>588</v>
      </c>
      <c r="D20" s="57"/>
      <c r="E20" s="43"/>
      <c r="F20" s="385">
        <v>1</v>
      </c>
      <c r="G20" s="57"/>
      <c r="H20" s="41">
        <v>5</v>
      </c>
      <c r="I20" s="41" t="s">
        <v>546</v>
      </c>
      <c r="J20" s="76">
        <f>+F130-K20</f>
        <v>0</v>
      </c>
      <c r="K20" s="76">
        <f>F20</f>
        <v>1</v>
      </c>
      <c r="L20" s="96">
        <f>+L18</f>
        <v>0.1</v>
      </c>
      <c r="M20" s="50">
        <f>K20*L20</f>
        <v>0.1</v>
      </c>
      <c r="N20" s="41"/>
      <c r="O20" s="34"/>
      <c r="P20" s="41"/>
      <c r="Q20" s="56" t="s">
        <v>390</v>
      </c>
      <c r="R20" s="50"/>
      <c r="S20" s="99"/>
      <c r="T20" s="115"/>
      <c r="U20" s="50"/>
      <c r="V20" s="50"/>
      <c r="W20" s="115"/>
      <c r="X20" s="50"/>
      <c r="Y20" s="50"/>
      <c r="Z20" s="115"/>
      <c r="AA20" s="50"/>
      <c r="AB20" s="127"/>
      <c r="AC20" s="34"/>
      <c r="AD20" s="34"/>
      <c r="AE20" s="41"/>
      <c r="AF20" s="41"/>
      <c r="AG20" s="50"/>
      <c r="AH20" s="50"/>
      <c r="AI20" s="50"/>
      <c r="AJ20" s="34"/>
      <c r="AK20" s="34"/>
      <c r="AL20" s="41"/>
      <c r="AM20" s="41"/>
      <c r="AN20" s="50"/>
      <c r="AO20" s="50"/>
      <c r="AP20" s="50"/>
      <c r="AQ20" s="50"/>
      <c r="AR20" s="50"/>
      <c r="AS20" s="50"/>
      <c r="AT20" s="50"/>
      <c r="AU20" s="50"/>
      <c r="AV20" s="34"/>
      <c r="AW20" s="41"/>
      <c r="AX20" s="56" t="s">
        <v>597</v>
      </c>
      <c r="AY20" s="114">
        <f>AN29/AN27</f>
        <v>0.07895833333333314</v>
      </c>
      <c r="AZ20" s="114">
        <f aca="true" t="shared" si="40" ref="AZ20:BF20">AO29/AO27</f>
        <v>0.0806944444444444</v>
      </c>
      <c r="BA20" s="114">
        <f t="shared" si="40"/>
        <v>0.08179861111111102</v>
      </c>
      <c r="BB20" s="114">
        <f t="shared" si="40"/>
        <v>0.08131845238095242</v>
      </c>
      <c r="BC20" s="114">
        <f t="shared" si="40"/>
        <v>0.08081542894935752</v>
      </c>
      <c r="BD20" s="114">
        <f t="shared" si="40"/>
        <v>0.08028845202102004</v>
      </c>
      <c r="BE20" s="114">
        <f t="shared" si="40"/>
        <v>0.07973638095323796</v>
      </c>
      <c r="BF20" s="114">
        <f t="shared" si="40"/>
        <v>0.07915802078699001</v>
      </c>
      <c r="BG20" s="269"/>
      <c r="BH20" s="34"/>
      <c r="BI20" s="41"/>
      <c r="BJ20" s="41" t="str">
        <f>+BJ9</f>
        <v>Product A</v>
      </c>
      <c r="BK20" s="41" t="str">
        <f>+BK9</f>
        <v>Ltrs</v>
      </c>
      <c r="BL20" s="50">
        <f>+BL25/$BL$13</f>
        <v>3000</v>
      </c>
      <c r="BM20" s="50">
        <f>+BM25/$BM$13</f>
        <v>3500</v>
      </c>
      <c r="BN20" s="50">
        <f>+BN25/$BN$13</f>
        <v>4000</v>
      </c>
      <c r="BO20" s="34"/>
      <c r="BP20" s="34"/>
      <c r="BQ20" s="41">
        <f>+BQ17+1</f>
        <v>6</v>
      </c>
      <c r="BR20" s="41" t="s">
        <v>256</v>
      </c>
      <c r="BS20" s="396"/>
      <c r="BT20" s="50">
        <f aca="true" t="shared" si="41" ref="BT20:BX21">+AY15</f>
        <v>1.5699999999999998</v>
      </c>
      <c r="BU20" s="50">
        <f t="shared" si="41"/>
        <v>1.4914999999999998</v>
      </c>
      <c r="BV20" s="50">
        <f t="shared" si="41"/>
        <v>1.4169249999999998</v>
      </c>
      <c r="BW20" s="50">
        <f t="shared" si="41"/>
        <v>1.3460787499999998</v>
      </c>
      <c r="BX20" s="50">
        <f t="shared" si="41"/>
        <v>1.2787748124999998</v>
      </c>
      <c r="BY20" s="50">
        <f aca="true" t="shared" si="42" ref="BY20:CA21">+BD15</f>
        <v>1.2148360718749998</v>
      </c>
      <c r="BZ20" s="50">
        <f t="shared" si="42"/>
        <v>1.1540942682812496</v>
      </c>
      <c r="CA20" s="50">
        <f t="shared" si="42"/>
        <v>1.0963895548671871</v>
      </c>
      <c r="CB20" s="64"/>
      <c r="CC20" s="34"/>
      <c r="CD20" s="41"/>
      <c r="CE20" s="41"/>
      <c r="CF20" s="473"/>
      <c r="CG20" s="50"/>
      <c r="CH20" s="50"/>
      <c r="CI20" s="50"/>
      <c r="CJ20" s="50"/>
      <c r="CK20" s="50"/>
      <c r="CL20" s="50"/>
      <c r="CM20" s="50"/>
      <c r="CN20" s="50"/>
      <c r="CO20" s="64"/>
      <c r="CP20" s="34"/>
      <c r="CQ20" s="34"/>
      <c r="CR20" s="34"/>
      <c r="CS20" s="34"/>
      <c r="CT20" s="34"/>
      <c r="CU20" s="34"/>
      <c r="CV20" s="34"/>
      <c r="CW20" s="34"/>
      <c r="CX20" s="44"/>
      <c r="CY20" s="43"/>
      <c r="CZ20" s="51"/>
      <c r="DA20" s="51"/>
      <c r="DB20" s="51"/>
      <c r="DC20" s="51"/>
      <c r="DD20" s="51"/>
      <c r="DE20" s="51"/>
      <c r="DF20" s="51"/>
      <c r="DG20" s="51"/>
      <c r="DH20" s="64"/>
      <c r="DI20" s="34"/>
      <c r="DJ20" s="34"/>
      <c r="DK20" s="46" t="str">
        <f>+DK18</f>
        <v>W D V</v>
      </c>
      <c r="DL20" s="47"/>
      <c r="DM20" s="39">
        <f>+DM18-DM19</f>
        <v>5.200000000000001</v>
      </c>
      <c r="DN20" s="39">
        <f>+DN18-DN19</f>
        <v>4.89</v>
      </c>
      <c r="DO20" s="39">
        <f>+DO18-DO19</f>
        <v>0.9800000000000001</v>
      </c>
      <c r="DP20" s="39">
        <f>+DP18-DP19</f>
        <v>11.070000000000002</v>
      </c>
      <c r="DQ20" s="34"/>
      <c r="DR20" s="34"/>
      <c r="DS20" s="41"/>
      <c r="DT20" s="41" t="s">
        <v>166</v>
      </c>
      <c r="DU20" s="50">
        <f>+DX19</f>
        <v>14.925000000000004</v>
      </c>
      <c r="DV20" s="50">
        <f>DU20*DV$6/4</f>
        <v>0.33581250000000007</v>
      </c>
      <c r="DW20" s="50">
        <f>+DW19</f>
        <v>0.8291666666666666</v>
      </c>
      <c r="DX20" s="50">
        <f>+DU20-DW20</f>
        <v>14.095833333333339</v>
      </c>
      <c r="DY20" s="64"/>
      <c r="DZ20" s="41"/>
      <c r="EA20" s="41" t="s">
        <v>166</v>
      </c>
      <c r="EB20" s="50"/>
      <c r="EC20" s="50"/>
      <c r="ED20" s="50"/>
      <c r="EE20" s="50"/>
      <c r="EF20" s="64"/>
      <c r="EG20" s="64"/>
      <c r="EH20" s="64"/>
      <c r="EI20" s="34"/>
      <c r="EJ20" s="41"/>
      <c r="EK20" s="41"/>
      <c r="EL20" s="41"/>
      <c r="EM20" s="41"/>
      <c r="EN20" s="43"/>
      <c r="EO20" s="34"/>
      <c r="EP20" s="41"/>
      <c r="EQ20" s="50"/>
      <c r="ER20" s="50"/>
      <c r="ES20" s="50"/>
      <c r="ET20" s="50"/>
      <c r="EU20" s="50"/>
      <c r="EV20" s="50"/>
      <c r="EW20" s="50"/>
      <c r="EX20" s="50"/>
      <c r="EY20" s="6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41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34"/>
      <c r="FZ20" s="41">
        <v>5</v>
      </c>
      <c r="GA20" s="41"/>
      <c r="GB20" s="41" t="s">
        <v>215</v>
      </c>
      <c r="GC20" s="44"/>
      <c r="GD20" s="41">
        <v>1000</v>
      </c>
      <c r="GE20" s="41">
        <v>3500</v>
      </c>
      <c r="GF20" s="50">
        <f t="shared" si="26"/>
        <v>35</v>
      </c>
      <c r="GG20" s="50"/>
      <c r="GH20" s="50"/>
      <c r="GI20" s="50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41"/>
      <c r="GZ20" s="41"/>
      <c r="HA20" s="44"/>
      <c r="HB20" s="41"/>
      <c r="HC20" s="41"/>
      <c r="HD20" s="50"/>
      <c r="HE20" s="51"/>
      <c r="HF20" s="51"/>
      <c r="HG20" s="51"/>
      <c r="HH20" s="51"/>
      <c r="HI20" s="34"/>
      <c r="HJ20" s="43"/>
      <c r="HK20" s="56" t="s">
        <v>304</v>
      </c>
      <c r="HL20" s="50">
        <f>+AP19</f>
        <v>8.64</v>
      </c>
      <c r="HM20" s="42"/>
      <c r="HN20" s="34"/>
      <c r="HO20" s="34"/>
      <c r="HP20" s="105">
        <v>6</v>
      </c>
      <c r="HQ20" s="68" t="s">
        <v>310</v>
      </c>
      <c r="HR20" s="137">
        <f>+AY7</f>
        <v>3.975018383437483</v>
      </c>
      <c r="HS20" s="137">
        <f>+AZ7</f>
        <v>5.270682279687495</v>
      </c>
      <c r="HT20" s="137">
        <f>+BA7</f>
        <v>6.698375714624989</v>
      </c>
      <c r="HU20" s="34"/>
      <c r="HV20" s="81"/>
      <c r="HW20" s="81"/>
      <c r="HX20" s="81">
        <v>13</v>
      </c>
      <c r="HY20" s="81" t="s">
        <v>311</v>
      </c>
      <c r="HZ20" s="84"/>
      <c r="IA20" s="84"/>
      <c r="IB20" s="81"/>
      <c r="IC20" s="81"/>
      <c r="ID20" s="81"/>
      <c r="IE20" s="81"/>
      <c r="IF20" s="81"/>
      <c r="IG20" s="81"/>
      <c r="IH20" s="81"/>
      <c r="II20" s="81"/>
      <c r="IJ20" s="81"/>
    </row>
    <row r="21" spans="1:244" s="233" customFormat="1" ht="17.25" thickBot="1">
      <c r="A21" s="34"/>
      <c r="B21" s="75"/>
      <c r="C21" s="388"/>
      <c r="D21" s="386"/>
      <c r="E21" s="389"/>
      <c r="F21" s="419">
        <f>SUM(F7:F20)</f>
        <v>44.101359375</v>
      </c>
      <c r="G21" s="57"/>
      <c r="H21" s="41"/>
      <c r="I21" s="41"/>
      <c r="J21" s="76" t="s">
        <v>0</v>
      </c>
      <c r="K21" s="76" t="s">
        <v>0</v>
      </c>
      <c r="L21" s="76" t="s">
        <v>0</v>
      </c>
      <c r="M21" s="76" t="s">
        <v>0</v>
      </c>
      <c r="N21" s="41"/>
      <c r="O21" s="34"/>
      <c r="P21" s="41">
        <f>+P19+1</f>
        <v>5</v>
      </c>
      <c r="Q21" s="98" t="s">
        <v>381</v>
      </c>
      <c r="R21" s="50">
        <v>3</v>
      </c>
      <c r="S21" s="99">
        <v>0.4</v>
      </c>
      <c r="T21" s="115">
        <f>AN27*$R21/12</f>
        <v>32.4</v>
      </c>
      <c r="U21" s="50">
        <f>+T21-V21</f>
        <v>19.439999999999998</v>
      </c>
      <c r="V21" s="486">
        <f>T21*$S21</f>
        <v>12.96</v>
      </c>
      <c r="W21" s="115">
        <f>AO27*$R21/12</f>
        <v>37.8</v>
      </c>
      <c r="X21" s="50">
        <f>+W21-Y21</f>
        <v>22.68</v>
      </c>
      <c r="Y21" s="50">
        <f>W21*$S21</f>
        <v>15.12</v>
      </c>
      <c r="Z21" s="115">
        <f>AP27*$R21/12</f>
        <v>43.20000000000001</v>
      </c>
      <c r="AA21" s="50">
        <f>+Z21-AB21</f>
        <v>25.920000000000005</v>
      </c>
      <c r="AB21" s="127">
        <f>Z21*$S21</f>
        <v>17.280000000000005</v>
      </c>
      <c r="AC21" s="34"/>
      <c r="AD21" s="34"/>
      <c r="AE21" s="41">
        <f>+AE9+1</f>
        <v>2</v>
      </c>
      <c r="AF21" s="41" t="s">
        <v>293</v>
      </c>
      <c r="AG21" s="50"/>
      <c r="AH21" s="50"/>
      <c r="AI21" s="50"/>
      <c r="AJ21" s="34"/>
      <c r="AK21" s="278"/>
      <c r="AL21" s="41" t="s">
        <v>538</v>
      </c>
      <c r="AM21" s="56" t="s">
        <v>346</v>
      </c>
      <c r="AN21" s="108">
        <f aca="true" t="shared" si="43" ref="AN21:AU21">+AN9+AN17+AN19</f>
        <v>119.36700000000002</v>
      </c>
      <c r="AO21" s="108">
        <f t="shared" si="43"/>
        <v>138.999</v>
      </c>
      <c r="AP21" s="108">
        <f t="shared" si="43"/>
        <v>158.66520000000003</v>
      </c>
      <c r="AQ21" s="108">
        <f t="shared" si="43"/>
        <v>166.68558000000002</v>
      </c>
      <c r="AR21" s="108">
        <f t="shared" si="43"/>
        <v>175.11569100000003</v>
      </c>
      <c r="AS21" s="108">
        <f t="shared" si="43"/>
        <v>183.97689075000002</v>
      </c>
      <c r="AT21" s="108">
        <f t="shared" si="43"/>
        <v>193.29169200750002</v>
      </c>
      <c r="AU21" s="108">
        <f t="shared" si="43"/>
        <v>203.08382899987504</v>
      </c>
      <c r="AV21" s="34"/>
      <c r="AW21" s="41"/>
      <c r="AX21" s="41"/>
      <c r="AY21" s="50"/>
      <c r="AZ21" s="50"/>
      <c r="BA21" s="50"/>
      <c r="BB21" s="50"/>
      <c r="BC21" s="50"/>
      <c r="BD21" s="50"/>
      <c r="BE21" s="50"/>
      <c r="BF21" s="50"/>
      <c r="BG21" s="64"/>
      <c r="BH21" s="34"/>
      <c r="BI21" s="41"/>
      <c r="BJ21" s="41" t="str">
        <f>+BJ10</f>
        <v>Product B</v>
      </c>
      <c r="BK21" s="41" t="str">
        <f>+BK10</f>
        <v>Ltrs</v>
      </c>
      <c r="BL21" s="50">
        <f>+BL26/$BL$13</f>
        <v>3500</v>
      </c>
      <c r="BM21" s="50">
        <f>+BM26/$BM$13</f>
        <v>4083.3333333333335</v>
      </c>
      <c r="BN21" s="50">
        <f>+BN26/$BN$13</f>
        <v>4666.666666666667</v>
      </c>
      <c r="BO21" s="34"/>
      <c r="BP21" s="34"/>
      <c r="BQ21" s="41">
        <f>+BQ20+1</f>
        <v>7</v>
      </c>
      <c r="BR21" s="41" t="s">
        <v>332</v>
      </c>
      <c r="BS21" s="396"/>
      <c r="BT21" s="50">
        <f t="shared" si="41"/>
        <v>0.2</v>
      </c>
      <c r="BU21" s="50">
        <f t="shared" si="41"/>
        <v>0.2</v>
      </c>
      <c r="BV21" s="50">
        <f t="shared" si="41"/>
        <v>0.2</v>
      </c>
      <c r="BW21" s="50">
        <f t="shared" si="41"/>
        <v>0.2</v>
      </c>
      <c r="BX21" s="50">
        <f t="shared" si="41"/>
        <v>0.2</v>
      </c>
      <c r="BY21" s="50">
        <f t="shared" si="42"/>
        <v>0</v>
      </c>
      <c r="BZ21" s="50">
        <f t="shared" si="42"/>
        <v>0</v>
      </c>
      <c r="CA21" s="50">
        <f t="shared" si="42"/>
        <v>0</v>
      </c>
      <c r="CB21" s="64"/>
      <c r="CC21" s="34"/>
      <c r="CD21" s="41">
        <f>+CD16+1</f>
        <v>5</v>
      </c>
      <c r="CE21" s="41" t="s">
        <v>502</v>
      </c>
      <c r="CF21" s="476">
        <v>0</v>
      </c>
      <c r="CG21" s="50">
        <f>T25</f>
        <v>7.875</v>
      </c>
      <c r="CH21" s="50">
        <f>W25</f>
        <v>9.1875</v>
      </c>
      <c r="CI21" s="50">
        <f>Z25</f>
        <v>10.5</v>
      </c>
      <c r="CJ21" s="50">
        <f>+CI21</f>
        <v>10.5</v>
      </c>
      <c r="CK21" s="50">
        <f>CJ21</f>
        <v>10.5</v>
      </c>
      <c r="CL21" s="50">
        <f>CK21</f>
        <v>10.5</v>
      </c>
      <c r="CM21" s="50">
        <f>CL21</f>
        <v>10.5</v>
      </c>
      <c r="CN21" s="50">
        <f>CM21</f>
        <v>10.5</v>
      </c>
      <c r="CO21" s="64"/>
      <c r="CP21" s="34"/>
      <c r="CQ21" s="34"/>
      <c r="CR21" s="34"/>
      <c r="CS21" s="34"/>
      <c r="CT21" s="34"/>
      <c r="CU21" s="34"/>
      <c r="CV21" s="34"/>
      <c r="CW21" s="34"/>
      <c r="CX21" s="44"/>
      <c r="CY21" s="119" t="s">
        <v>316</v>
      </c>
      <c r="CZ21" s="51">
        <f aca="true" t="shared" si="44" ref="CZ21:DG21">+CZ13/CZ19</f>
        <v>4.207715456972353</v>
      </c>
      <c r="DA21" s="51">
        <f t="shared" si="44"/>
        <v>1.7297264305969675</v>
      </c>
      <c r="DB21" s="51">
        <f t="shared" si="44"/>
        <v>2.0641665268176697</v>
      </c>
      <c r="DC21" s="51">
        <f t="shared" si="44"/>
        <v>2.2743824262784247</v>
      </c>
      <c r="DD21" s="51">
        <f t="shared" si="44"/>
        <v>2.5223788053614884</v>
      </c>
      <c r="DE21" s="51">
        <f t="shared" si="44"/>
        <v>2.802201081591162</v>
      </c>
      <c r="DF21" s="51">
        <f t="shared" si="44"/>
        <v>3.1506864877922167</v>
      </c>
      <c r="DG21" s="51" t="e">
        <f t="shared" si="44"/>
        <v>#DIV/0!</v>
      </c>
      <c r="DH21" s="64"/>
      <c r="DI21" s="34"/>
      <c r="DJ21" s="34"/>
      <c r="DK21" s="42" t="str">
        <f>+DK19</f>
        <v>Depreciation  -</v>
      </c>
      <c r="DL21" s="57" t="str">
        <f>+CL7</f>
        <v>2027-28</v>
      </c>
      <c r="DM21" s="37">
        <f>ROUND(DM20*DM$9,2)</f>
        <v>0.52</v>
      </c>
      <c r="DN21" s="36">
        <f>ROUND(DN20*$DN$9,2)</f>
        <v>0.73</v>
      </c>
      <c r="DO21" s="118">
        <f>ROUND(DO20*$DO$9,2)</f>
        <v>0.15</v>
      </c>
      <c r="DP21" s="36">
        <f>SUM(DM21:DO21)</f>
        <v>1.4</v>
      </c>
      <c r="DQ21" s="34"/>
      <c r="DR21" s="34"/>
      <c r="DS21" s="41"/>
      <c r="DT21" s="41" t="s">
        <v>274</v>
      </c>
      <c r="DU21" s="50">
        <f>+DX20</f>
        <v>14.095833333333339</v>
      </c>
      <c r="DV21" s="50">
        <f>DU21*DV$6/4</f>
        <v>0.3171562500000001</v>
      </c>
      <c r="DW21" s="50">
        <f>+DW20</f>
        <v>0.8291666666666666</v>
      </c>
      <c r="DX21" s="50">
        <f>+DU21-DW21</f>
        <v>13.266666666666673</v>
      </c>
      <c r="DY21" s="64"/>
      <c r="DZ21" s="41"/>
      <c r="EA21" s="41" t="s">
        <v>274</v>
      </c>
      <c r="EB21" s="50"/>
      <c r="EC21" s="50"/>
      <c r="ED21" s="50"/>
      <c r="EE21" s="50"/>
      <c r="EF21" s="64"/>
      <c r="EG21" s="64"/>
      <c r="EH21" s="64"/>
      <c r="EI21" s="34"/>
      <c r="EJ21" s="50"/>
      <c r="EK21" s="50"/>
      <c r="EL21" s="41"/>
      <c r="EM21" s="41"/>
      <c r="EN21" s="43"/>
      <c r="EO21" s="34"/>
      <c r="EP21" s="41" t="s">
        <v>324</v>
      </c>
      <c r="EQ21" s="50">
        <f aca="true" t="shared" si="45" ref="EQ21:EX21">+EQ19-EQ20</f>
        <v>3.6161863749999763</v>
      </c>
      <c r="ER21" s="50">
        <f t="shared" si="45"/>
        <v>5.780716874999993</v>
      </c>
      <c r="ES21" s="50">
        <f t="shared" si="45"/>
        <v>8.047543049999984</v>
      </c>
      <c r="ET21" s="50">
        <f t="shared" si="45"/>
        <v>9.255663050000011</v>
      </c>
      <c r="EU21" s="50">
        <f t="shared" si="45"/>
        <v>10.436052050000002</v>
      </c>
      <c r="EV21" s="50">
        <f t="shared" si="45"/>
        <v>11.808952300000001</v>
      </c>
      <c r="EW21" s="50">
        <f t="shared" si="45"/>
        <v>12.98453104250001</v>
      </c>
      <c r="EX21" s="50">
        <f t="shared" si="45"/>
        <v>14.030930550125005</v>
      </c>
      <c r="EY21" s="6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45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34"/>
      <c r="FZ21" s="41"/>
      <c r="GA21" s="41" t="s">
        <v>0</v>
      </c>
      <c r="GB21" s="34" t="s">
        <v>0</v>
      </c>
      <c r="GC21" s="44" t="s">
        <v>0</v>
      </c>
      <c r="GD21" s="41" t="s">
        <v>0</v>
      </c>
      <c r="GE21" s="41" t="s">
        <v>0</v>
      </c>
      <c r="GF21" s="50" t="s">
        <v>0</v>
      </c>
      <c r="GG21" s="50"/>
      <c r="GH21" s="50"/>
      <c r="GI21" s="50"/>
      <c r="GJ21" s="34" t="s">
        <v>0</v>
      </c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41"/>
      <c r="GZ21" s="41"/>
      <c r="HA21" s="44"/>
      <c r="HB21" s="41"/>
      <c r="HC21" s="41"/>
      <c r="HD21" s="50"/>
      <c r="HE21" s="51"/>
      <c r="HF21" s="51"/>
      <c r="HG21" s="51"/>
      <c r="HH21" s="51"/>
      <c r="HI21" s="34"/>
      <c r="HJ21" s="43"/>
      <c r="HK21" s="98" t="s">
        <v>532</v>
      </c>
      <c r="HL21" s="50">
        <f>+BA5</f>
        <v>2.072242335374996</v>
      </c>
      <c r="HM21" s="42"/>
      <c r="HN21" s="34"/>
      <c r="HO21" s="34"/>
      <c r="HP21" s="105"/>
      <c r="HQ21" s="68"/>
      <c r="HR21" s="68"/>
      <c r="HS21" s="68"/>
      <c r="HT21" s="68"/>
      <c r="HU21" s="34"/>
      <c r="HV21" s="81"/>
      <c r="HW21" s="81"/>
      <c r="HX21" s="81">
        <v>14</v>
      </c>
      <c r="HY21" s="81" t="s">
        <v>318</v>
      </c>
      <c r="HZ21" s="84"/>
      <c r="IA21" s="84"/>
      <c r="IB21" s="81"/>
      <c r="IC21" s="81"/>
      <c r="ID21" s="81"/>
      <c r="IE21" s="81"/>
      <c r="IF21" s="81"/>
      <c r="IG21" s="81"/>
      <c r="IH21" s="81"/>
      <c r="II21" s="81"/>
      <c r="IJ21" s="81"/>
    </row>
    <row r="22" spans="1:244" s="233" customFormat="1" ht="17.25" thickBot="1">
      <c r="A22" s="34"/>
      <c r="B22" s="34"/>
      <c r="C22" s="34"/>
      <c r="D22" s="34"/>
      <c r="E22" s="34"/>
      <c r="F22" s="260"/>
      <c r="G22" s="64"/>
      <c r="H22" s="41"/>
      <c r="I22" s="41"/>
      <c r="J22" s="50"/>
      <c r="K22" s="50"/>
      <c r="L22" s="94"/>
      <c r="M22" s="50"/>
      <c r="N22" s="41"/>
      <c r="O22" s="34"/>
      <c r="P22" s="41"/>
      <c r="Q22" s="41"/>
      <c r="R22" s="50"/>
      <c r="S22" s="99"/>
      <c r="T22" s="131">
        <f aca="true" t="shared" si="46" ref="T22:AB22">SUM(T10:T21)</f>
        <v>47.2404375</v>
      </c>
      <c r="U22" s="39">
        <f t="shared" si="46"/>
        <v>30.570328124999996</v>
      </c>
      <c r="V22" s="39">
        <f t="shared" si="46"/>
        <v>16.670109375000003</v>
      </c>
      <c r="W22" s="131">
        <f t="shared" si="46"/>
        <v>55.1034375</v>
      </c>
      <c r="X22" s="39">
        <f t="shared" si="46"/>
        <v>35.657578125</v>
      </c>
      <c r="Y22" s="39">
        <f t="shared" si="46"/>
        <v>19.445859374999998</v>
      </c>
      <c r="Z22" s="131">
        <f t="shared" si="46"/>
        <v>62.967675000000014</v>
      </c>
      <c r="AA22" s="39">
        <f t="shared" si="46"/>
        <v>40.74575625000001</v>
      </c>
      <c r="AB22" s="132">
        <f t="shared" si="46"/>
        <v>22.221918750000004</v>
      </c>
      <c r="AC22" s="34"/>
      <c r="AD22" s="34"/>
      <c r="AE22" s="41"/>
      <c r="AF22" s="41"/>
      <c r="AG22" s="109" t="s">
        <v>0</v>
      </c>
      <c r="AH22" s="50" t="s">
        <v>0</v>
      </c>
      <c r="AI22" s="50"/>
      <c r="AJ22" s="34"/>
      <c r="AK22" s="34"/>
      <c r="AL22" s="41"/>
      <c r="AM22" s="98" t="s">
        <v>353</v>
      </c>
      <c r="AN22" s="50"/>
      <c r="AO22" s="50"/>
      <c r="AP22" s="50"/>
      <c r="AQ22" s="50"/>
      <c r="AR22" s="50"/>
      <c r="AS22" s="50"/>
      <c r="AT22" s="50"/>
      <c r="AU22" s="50"/>
      <c r="AV22" s="34"/>
      <c r="AW22" s="41"/>
      <c r="AX22" s="56" t="s">
        <v>594</v>
      </c>
      <c r="AY22" s="114">
        <f aca="true" t="shared" si="47" ref="AY22:BF22">+AY7/AN27</f>
        <v>0.030671438143807742</v>
      </c>
      <c r="AZ22" s="114">
        <f t="shared" si="47"/>
        <v>0.03485900978629296</v>
      </c>
      <c r="BA22" s="114">
        <f t="shared" si="47"/>
        <v>0.03876374834852424</v>
      </c>
      <c r="BB22" s="114">
        <f t="shared" si="47"/>
        <v>0.040653941052827415</v>
      </c>
      <c r="BC22" s="114">
        <f t="shared" si="47"/>
        <v>0.042411994176875994</v>
      </c>
      <c r="BD22" s="114">
        <f t="shared" si="47"/>
        <v>0.0447581405239565</v>
      </c>
      <c r="BE22" s="114">
        <f t="shared" si="47"/>
        <v>0.04616713024987019</v>
      </c>
      <c r="BF22" s="114">
        <f t="shared" si="47"/>
        <v>0.04707312929296561</v>
      </c>
      <c r="BG22" s="269"/>
      <c r="BH22" s="34"/>
      <c r="BI22" s="41"/>
      <c r="BJ22" s="41"/>
      <c r="BK22" s="41"/>
      <c r="BL22" s="41"/>
      <c r="BM22" s="41"/>
      <c r="BN22" s="41"/>
      <c r="BO22" s="34"/>
      <c r="BP22" s="34"/>
      <c r="BQ22" s="41"/>
      <c r="BR22" s="41"/>
      <c r="BS22" s="398"/>
      <c r="BT22" s="108">
        <f>SUM(BT9:BT21)</f>
        <v>79.00843749999997</v>
      </c>
      <c r="BU22" s="108">
        <f aca="true" t="shared" si="48" ref="BU22:CA22">SUM(BU9:BU21)</f>
        <v>16.303874999999998</v>
      </c>
      <c r="BV22" s="108">
        <f t="shared" si="48"/>
        <v>18.23860312499999</v>
      </c>
      <c r="BW22" s="108">
        <f t="shared" si="48"/>
        <v>14.754420000000012</v>
      </c>
      <c r="BX22" s="108">
        <f t="shared" si="48"/>
        <v>15.396309000000002</v>
      </c>
      <c r="BY22" s="108">
        <f t="shared" si="48"/>
        <v>16.060709250000002</v>
      </c>
      <c r="BZ22" s="108">
        <f t="shared" si="48"/>
        <v>16.747787992500008</v>
      </c>
      <c r="CA22" s="108">
        <f t="shared" si="48"/>
        <v>17.457625000125006</v>
      </c>
      <c r="CB22" s="64"/>
      <c r="CC22" s="34"/>
      <c r="CD22" s="41"/>
      <c r="CE22" s="41"/>
      <c r="CF22" s="420">
        <f aca="true" t="shared" si="49" ref="CF22:CN22">+CF14+CF19+CF21</f>
        <v>0</v>
      </c>
      <c r="CG22" s="420">
        <f>+CG14+CG19+CG21</f>
        <v>80.61545588343748</v>
      </c>
      <c r="CH22" s="420">
        <f t="shared" si="49"/>
        <v>87.98484649645832</v>
      </c>
      <c r="CI22" s="420">
        <f t="shared" si="49"/>
        <v>96.78285866941664</v>
      </c>
      <c r="CJ22" s="420">
        <f t="shared" si="49"/>
        <v>100.842443067375</v>
      </c>
      <c r="CK22" s="420">
        <f t="shared" si="49"/>
        <v>105.60577023533332</v>
      </c>
      <c r="CL22" s="420">
        <f t="shared" si="49"/>
        <v>111.24241457954167</v>
      </c>
      <c r="CM22" s="420">
        <f t="shared" si="49"/>
        <v>117.62266794365001</v>
      </c>
      <c r="CN22" s="420">
        <f t="shared" si="49"/>
        <v>128.00424432225063</v>
      </c>
      <c r="CO22" s="64"/>
      <c r="CP22" s="34"/>
      <c r="CQ22" s="34"/>
      <c r="CR22" s="34"/>
      <c r="CS22" s="34"/>
      <c r="CT22" s="34"/>
      <c r="CU22" s="34"/>
      <c r="CV22" s="34"/>
      <c r="CW22" s="34"/>
      <c r="CX22" s="44"/>
      <c r="CY22" s="43"/>
      <c r="CZ22" s="51"/>
      <c r="DA22" s="51"/>
      <c r="DB22" s="51"/>
      <c r="DC22" s="51"/>
      <c r="DD22" s="51"/>
      <c r="DE22" s="51"/>
      <c r="DF22" s="51"/>
      <c r="DG22" s="51"/>
      <c r="DH22" s="64"/>
      <c r="DI22" s="34"/>
      <c r="DJ22" s="34"/>
      <c r="DK22" s="46" t="str">
        <f t="shared" si="22"/>
        <v>W D V</v>
      </c>
      <c r="DL22" s="62"/>
      <c r="DM22" s="58">
        <f>+DM20-DM21</f>
        <v>4.6800000000000015</v>
      </c>
      <c r="DN22" s="50">
        <f>+DN20-DN21</f>
        <v>4.16</v>
      </c>
      <c r="DO22" s="64">
        <f>+DO20-DO21</f>
        <v>0.8300000000000001</v>
      </c>
      <c r="DP22" s="50">
        <f>+DP20-DP21</f>
        <v>9.670000000000002</v>
      </c>
      <c r="DQ22" s="34"/>
      <c r="DR22" s="34"/>
      <c r="DS22" s="106"/>
      <c r="DT22" s="106"/>
      <c r="DU22" s="108"/>
      <c r="DV22" s="108">
        <f>SUM(DV18:DV21)</f>
        <v>1.3805625000000001</v>
      </c>
      <c r="DW22" s="108">
        <f>SUM(DW18:DW21)</f>
        <v>3.3166666666666664</v>
      </c>
      <c r="DX22" s="108"/>
      <c r="DY22" s="64"/>
      <c r="DZ22" s="41"/>
      <c r="EA22" s="41"/>
      <c r="EB22" s="50"/>
      <c r="EC22" s="108"/>
      <c r="ED22" s="108"/>
      <c r="EE22" s="50"/>
      <c r="EF22" s="64"/>
      <c r="EG22" s="64"/>
      <c r="EH22" s="64"/>
      <c r="EI22" s="34"/>
      <c r="EJ22" s="126"/>
      <c r="EK22" s="50"/>
      <c r="EL22" s="41"/>
      <c r="EM22" s="41"/>
      <c r="EN22" s="43"/>
      <c r="EO22" s="34"/>
      <c r="EP22" s="45" t="s">
        <v>295</v>
      </c>
      <c r="EQ22" s="63">
        <f aca="true" t="shared" si="50" ref="EQ22:EX22">+EQ21*$EO$23</f>
        <v>0.931167991562494</v>
      </c>
      <c r="ER22" s="63">
        <f t="shared" si="50"/>
        <v>1.4885345953124982</v>
      </c>
      <c r="ES22" s="63">
        <f t="shared" si="50"/>
        <v>2.072242335374996</v>
      </c>
      <c r="ET22" s="63">
        <f t="shared" si="50"/>
        <v>2.383333235375003</v>
      </c>
      <c r="EU22" s="63">
        <f t="shared" si="50"/>
        <v>2.687283402875001</v>
      </c>
      <c r="EV22" s="63">
        <f t="shared" si="50"/>
        <v>3.0408052172500004</v>
      </c>
      <c r="EW22" s="63">
        <f t="shared" si="50"/>
        <v>3.3435167434437525</v>
      </c>
      <c r="EX22" s="63">
        <f t="shared" si="50"/>
        <v>3.6129646166571887</v>
      </c>
      <c r="EY22" s="6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41">
        <v>6</v>
      </c>
      <c r="GA22" s="41" t="s">
        <v>325</v>
      </c>
      <c r="GB22" s="41"/>
      <c r="GC22" s="44"/>
      <c r="GD22" s="41"/>
      <c r="GE22" s="41"/>
      <c r="GF22" s="63">
        <v>4.25</v>
      </c>
      <c r="GG22" s="50"/>
      <c r="GH22" s="50"/>
      <c r="GI22" s="50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41"/>
      <c r="GZ22" s="41"/>
      <c r="HA22" s="44"/>
      <c r="HB22" s="41"/>
      <c r="HC22" s="41"/>
      <c r="HD22" s="50"/>
      <c r="HE22" s="51"/>
      <c r="HF22" s="51"/>
      <c r="HG22" s="51"/>
      <c r="HH22" s="51"/>
      <c r="HI22" s="34"/>
      <c r="HJ22" s="43"/>
      <c r="HK22" s="98" t="s">
        <v>309</v>
      </c>
      <c r="HL22" s="50">
        <f>+AP35</f>
        <v>2.3666944500000002</v>
      </c>
      <c r="HM22" s="42"/>
      <c r="HN22" s="34"/>
      <c r="HO22" s="34"/>
      <c r="HP22" s="105">
        <v>7</v>
      </c>
      <c r="HQ22" s="68" t="s">
        <v>621</v>
      </c>
      <c r="HR22" s="137">
        <f>+CG12</f>
        <v>5</v>
      </c>
      <c r="HS22" s="137">
        <f>+CH12</f>
        <v>5</v>
      </c>
      <c r="HT22" s="137">
        <f>+CI12</f>
        <v>5</v>
      </c>
      <c r="HU22" s="34"/>
      <c r="HV22" s="81"/>
      <c r="HW22" s="81"/>
      <c r="HX22" s="81">
        <v>15</v>
      </c>
      <c r="HY22" s="81" t="s">
        <v>327</v>
      </c>
      <c r="HZ22" s="84"/>
      <c r="IA22" s="84"/>
      <c r="IB22" s="81"/>
      <c r="IC22" s="81"/>
      <c r="ID22" s="81"/>
      <c r="IE22" s="81"/>
      <c r="IF22" s="81"/>
      <c r="IG22" s="81"/>
      <c r="IH22" s="81"/>
      <c r="II22" s="81"/>
      <c r="IJ22" s="81"/>
    </row>
    <row r="23" spans="1:244" s="233" customFormat="1" ht="18" thickBot="1" thickTop="1">
      <c r="A23" s="34"/>
      <c r="B23" s="493" t="s">
        <v>0</v>
      </c>
      <c r="C23" s="495"/>
      <c r="D23" s="495"/>
      <c r="E23" s="495"/>
      <c r="F23" s="495"/>
      <c r="G23" s="64"/>
      <c r="H23" s="45"/>
      <c r="I23" s="45"/>
      <c r="J23" s="424">
        <f>SUM(J9:J22)</f>
        <v>3</v>
      </c>
      <c r="K23" s="420">
        <f>SUM(K9:K22)</f>
        <v>24</v>
      </c>
      <c r="L23" s="97"/>
      <c r="M23" s="420">
        <f>SUM(M9:M22)</f>
        <v>2.4000000000000004</v>
      </c>
      <c r="N23" s="45"/>
      <c r="O23" s="34"/>
      <c r="P23" s="41">
        <f>+P21+1</f>
        <v>6</v>
      </c>
      <c r="Q23" s="41" t="s">
        <v>413</v>
      </c>
      <c r="R23" s="50"/>
      <c r="S23" s="99"/>
      <c r="T23" s="115"/>
      <c r="U23" s="50"/>
      <c r="V23" s="50"/>
      <c r="W23" s="115"/>
      <c r="X23" s="50"/>
      <c r="Y23" s="50"/>
      <c r="Z23" s="115"/>
      <c r="AA23" s="50"/>
      <c r="AB23" s="127"/>
      <c r="AC23" s="34"/>
      <c r="AD23" s="34"/>
      <c r="AE23" s="41"/>
      <c r="AF23" s="41" t="s">
        <v>369</v>
      </c>
      <c r="AG23" s="50">
        <v>1.2</v>
      </c>
      <c r="AH23" s="50">
        <f>+AG23*110%</f>
        <v>1.32</v>
      </c>
      <c r="AI23" s="50">
        <f>+AH23*110%</f>
        <v>1.4520000000000002</v>
      </c>
      <c r="AJ23" s="34"/>
      <c r="AK23" s="279"/>
      <c r="AL23" s="41"/>
      <c r="AM23" s="41"/>
      <c r="AN23" s="50"/>
      <c r="AO23" s="50"/>
      <c r="AP23" s="50"/>
      <c r="AQ23" s="50"/>
      <c r="AR23" s="50"/>
      <c r="AS23" s="50"/>
      <c r="AT23" s="50"/>
      <c r="AU23" s="50"/>
      <c r="AV23" s="34"/>
      <c r="AW23" s="41"/>
      <c r="AX23" s="41"/>
      <c r="AY23" s="50"/>
      <c r="AZ23" s="50"/>
      <c r="BA23" s="50"/>
      <c r="BB23" s="50"/>
      <c r="BC23" s="50"/>
      <c r="BD23" s="50"/>
      <c r="BE23" s="50"/>
      <c r="BF23" s="50"/>
      <c r="BG23" s="64"/>
      <c r="BH23" s="34"/>
      <c r="BI23" s="41">
        <f>+BI19+1</f>
        <v>5</v>
      </c>
      <c r="BJ23" s="103" t="s">
        <v>314</v>
      </c>
      <c r="BK23" s="41"/>
      <c r="BL23" s="41"/>
      <c r="BM23" s="41"/>
      <c r="BN23" s="41"/>
      <c r="BO23" s="34"/>
      <c r="BP23" s="34"/>
      <c r="BQ23" s="41"/>
      <c r="BR23" s="41"/>
      <c r="BS23" s="396"/>
      <c r="BT23" s="50"/>
      <c r="BU23" s="50"/>
      <c r="BV23" s="50"/>
      <c r="BW23" s="50"/>
      <c r="BX23" s="50"/>
      <c r="BY23" s="50"/>
      <c r="BZ23" s="50"/>
      <c r="CA23" s="50"/>
      <c r="CB23" s="64"/>
      <c r="CC23" s="34"/>
      <c r="CD23" s="41"/>
      <c r="CE23" s="41"/>
      <c r="CF23" s="473"/>
      <c r="CG23" s="50"/>
      <c r="CH23" s="50"/>
      <c r="CI23" s="50"/>
      <c r="CJ23" s="50"/>
      <c r="CK23" s="50"/>
      <c r="CL23" s="50"/>
      <c r="CM23" s="50"/>
      <c r="CN23" s="50"/>
      <c r="CO23" s="64"/>
      <c r="CP23" s="34"/>
      <c r="CQ23" s="34"/>
      <c r="CR23" s="34"/>
      <c r="CS23" s="34"/>
      <c r="CT23" s="34"/>
      <c r="CU23" s="34"/>
      <c r="CV23" s="34"/>
      <c r="CW23" s="34"/>
      <c r="CX23" s="48"/>
      <c r="CY23" s="237" t="s">
        <v>333</v>
      </c>
      <c r="CZ23" s="514">
        <f>AVERAGE(CZ21:DF21)</f>
        <v>2.6787510307728972</v>
      </c>
      <c r="DA23" s="515"/>
      <c r="DB23" s="515"/>
      <c r="DC23" s="515"/>
      <c r="DD23" s="515"/>
      <c r="DE23" s="515"/>
      <c r="DF23" s="515"/>
      <c r="DG23" s="516"/>
      <c r="DH23" s="305"/>
      <c r="DI23" s="34"/>
      <c r="DJ23" s="34"/>
      <c r="DK23" s="42" t="str">
        <f t="shared" si="22"/>
        <v>Depreciation  -</v>
      </c>
      <c r="DL23" s="57" t="str">
        <f>+CM7</f>
        <v>2028-29</v>
      </c>
      <c r="DM23" s="37">
        <f>ROUND(DM22*DM$9,2)</f>
        <v>0.47</v>
      </c>
      <c r="DN23" s="36">
        <f>ROUND(DN22*$DN$9,2)</f>
        <v>0.62</v>
      </c>
      <c r="DO23" s="36">
        <f>ROUND(DO22*$DO$9,2)</f>
        <v>0.12</v>
      </c>
      <c r="DP23" s="38">
        <f>SUM(DM23:DO23)</f>
        <v>1.21</v>
      </c>
      <c r="DQ23" s="34"/>
      <c r="DR23" s="34"/>
      <c r="DS23" s="41" t="str">
        <f>+DL17</f>
        <v>2025-26</v>
      </c>
      <c r="DT23" s="41" t="s">
        <v>81</v>
      </c>
      <c r="DU23" s="50">
        <f>+DX21</f>
        <v>13.266666666666673</v>
      </c>
      <c r="DV23" s="50">
        <f>DU23*DV$6/4</f>
        <v>0.29850000000000015</v>
      </c>
      <c r="DW23" s="126">
        <f>+DW21</f>
        <v>0.8291666666666666</v>
      </c>
      <c r="DX23" s="50">
        <f>+DU23-DW23</f>
        <v>12.437500000000007</v>
      </c>
      <c r="DY23" s="64"/>
      <c r="DZ23" s="41" t="str">
        <f>+DS23</f>
        <v>2025-26</v>
      </c>
      <c r="EA23" s="41" t="s">
        <v>81</v>
      </c>
      <c r="EB23" s="50"/>
      <c r="EC23" s="50"/>
      <c r="ED23" s="126"/>
      <c r="EE23" s="50"/>
      <c r="EF23" s="64"/>
      <c r="EG23" s="64"/>
      <c r="EH23" s="64"/>
      <c r="EI23" s="34"/>
      <c r="EJ23" s="50"/>
      <c r="EK23" s="108">
        <f>+EK21</f>
        <v>0</v>
      </c>
      <c r="EL23" s="41"/>
      <c r="EM23" s="41"/>
      <c r="EN23" s="43"/>
      <c r="EO23" s="34">
        <v>0.2575</v>
      </c>
      <c r="EP23" s="34"/>
      <c r="EQ23" s="34"/>
      <c r="ER23" s="34"/>
      <c r="ES23" s="34"/>
      <c r="ET23" s="34"/>
      <c r="EU23" s="34"/>
      <c r="EV23" s="34"/>
      <c r="EW23" s="34"/>
      <c r="EX23" s="34"/>
      <c r="EY23" s="64"/>
      <c r="EZ23" s="34"/>
      <c r="FA23" s="34"/>
      <c r="FB23" s="289" t="s">
        <v>334</v>
      </c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41" t="s">
        <v>0</v>
      </c>
      <c r="GA23" s="306" t="s">
        <v>24</v>
      </c>
      <c r="GB23" s="41" t="s">
        <v>0</v>
      </c>
      <c r="GC23" s="44" t="s">
        <v>0</v>
      </c>
      <c r="GD23" s="41" t="s">
        <v>0</v>
      </c>
      <c r="GE23" s="41" t="s">
        <v>0</v>
      </c>
      <c r="GF23" s="50">
        <f>SUM(GF2:GF22)</f>
        <v>90</v>
      </c>
      <c r="GG23" s="50"/>
      <c r="GH23" s="50"/>
      <c r="GI23" s="50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41"/>
      <c r="GZ23" s="41"/>
      <c r="HA23" s="44"/>
      <c r="HB23" s="41"/>
      <c r="HC23" s="41"/>
      <c r="HD23" s="50"/>
      <c r="HE23" s="51"/>
      <c r="HF23" s="51"/>
      <c r="HG23" s="51"/>
      <c r="HH23" s="51"/>
      <c r="HI23" s="34"/>
      <c r="HJ23" s="43"/>
      <c r="HK23" s="98"/>
      <c r="HL23" s="50"/>
      <c r="HM23" s="42"/>
      <c r="HN23" s="34"/>
      <c r="HO23" s="34"/>
      <c r="HP23" s="105"/>
      <c r="HQ23" s="68"/>
      <c r="HR23" s="68"/>
      <c r="HS23" s="68"/>
      <c r="HT23" s="68"/>
      <c r="HU23" s="34"/>
      <c r="HV23" s="81"/>
      <c r="HW23" s="81"/>
      <c r="HX23" s="81">
        <v>16</v>
      </c>
      <c r="HY23" s="81" t="s">
        <v>336</v>
      </c>
      <c r="HZ23" s="84"/>
      <c r="IA23" s="84"/>
      <c r="IB23" s="81"/>
      <c r="IC23" s="81"/>
      <c r="ID23" s="81"/>
      <c r="IE23" s="81"/>
      <c r="IF23" s="81"/>
      <c r="IG23" s="81"/>
      <c r="IH23" s="81"/>
      <c r="II23" s="81"/>
      <c r="IJ23" s="81"/>
    </row>
    <row r="24" spans="1:244" s="233" customFormat="1" ht="17.25" thickTop="1">
      <c r="A24" s="34"/>
      <c r="B24" s="493" t="s">
        <v>618</v>
      </c>
      <c r="C24" s="493"/>
      <c r="D24" s="493"/>
      <c r="E24" s="493"/>
      <c r="F24" s="493"/>
      <c r="G24" s="57"/>
      <c r="H24" s="34"/>
      <c r="I24" s="34"/>
      <c r="J24" s="34"/>
      <c r="K24" s="34"/>
      <c r="L24" s="34"/>
      <c r="M24" s="34"/>
      <c r="N24" s="34"/>
      <c r="O24" s="34"/>
      <c r="P24" s="41"/>
      <c r="Q24" s="41" t="s">
        <v>424</v>
      </c>
      <c r="R24" s="34"/>
      <c r="S24" s="41"/>
      <c r="T24" s="307"/>
      <c r="U24" s="41"/>
      <c r="V24" s="308"/>
      <c r="W24" s="41"/>
      <c r="X24" s="41"/>
      <c r="Y24" s="308"/>
      <c r="Z24" s="41"/>
      <c r="AA24" s="41"/>
      <c r="AB24" s="308"/>
      <c r="AC24" s="34"/>
      <c r="AD24" s="34"/>
      <c r="AE24" s="41"/>
      <c r="AF24" s="41"/>
      <c r="AG24" s="50"/>
      <c r="AH24" s="50"/>
      <c r="AI24" s="50"/>
      <c r="AJ24" s="34"/>
      <c r="AK24" s="34"/>
      <c r="AL24" s="41" t="s">
        <v>539</v>
      </c>
      <c r="AM24" s="41" t="s">
        <v>530</v>
      </c>
      <c r="AN24" s="50"/>
      <c r="AO24" s="50"/>
      <c r="AP24" s="50"/>
      <c r="AQ24" s="50"/>
      <c r="AR24" s="50"/>
      <c r="AS24" s="50"/>
      <c r="AT24" s="50"/>
      <c r="AU24" s="50"/>
      <c r="AV24" s="34"/>
      <c r="AW24" s="41"/>
      <c r="AX24" s="41" t="s">
        <v>372</v>
      </c>
      <c r="AY24" s="50">
        <f aca="true" t="shared" si="51" ref="AY24:BF24">+AN29/(AN34+AN35)</f>
        <v>2.86894721055126</v>
      </c>
      <c r="AZ24" s="50">
        <f t="shared" si="51"/>
        <v>3.253354371744931</v>
      </c>
      <c r="BA24" s="50">
        <f t="shared" si="51"/>
        <v>3.772039171212954</v>
      </c>
      <c r="BB24" s="50">
        <f t="shared" si="51"/>
        <v>4.278184926890835</v>
      </c>
      <c r="BC24" s="50">
        <f t="shared" si="51"/>
        <v>4.887318477307065</v>
      </c>
      <c r="BD24" s="50">
        <f t="shared" si="51"/>
        <v>5.631864682577523</v>
      </c>
      <c r="BE24" s="50">
        <f t="shared" si="51"/>
        <v>6.5593821227041005</v>
      </c>
      <c r="BF24" s="50">
        <f t="shared" si="51"/>
        <v>7.376374673175493</v>
      </c>
      <c r="BG24" s="64"/>
      <c r="BH24" s="34"/>
      <c r="BI24" s="41"/>
      <c r="BJ24" s="103"/>
      <c r="BK24" s="41"/>
      <c r="BL24" s="41"/>
      <c r="BM24" s="41"/>
      <c r="BN24" s="41"/>
      <c r="BO24" s="34"/>
      <c r="BP24" s="34"/>
      <c r="BQ24" s="41"/>
      <c r="BR24" s="103" t="s">
        <v>355</v>
      </c>
      <c r="BS24" s="400"/>
      <c r="BT24" s="50"/>
      <c r="BU24" s="50"/>
      <c r="BV24" s="50"/>
      <c r="BW24" s="50"/>
      <c r="BX24" s="50"/>
      <c r="BY24" s="50"/>
      <c r="BZ24" s="50"/>
      <c r="CA24" s="50"/>
      <c r="CB24" s="64"/>
      <c r="CC24" s="34"/>
      <c r="CD24" s="105" t="s">
        <v>121</v>
      </c>
      <c r="CE24" s="60" t="s">
        <v>341</v>
      </c>
      <c r="CF24" s="472"/>
      <c r="CG24" s="50"/>
      <c r="CH24" s="50"/>
      <c r="CI24" s="50"/>
      <c r="CJ24" s="50"/>
      <c r="CK24" s="50"/>
      <c r="CL24" s="50"/>
      <c r="CM24" s="50"/>
      <c r="CN24" s="50"/>
      <c r="CO24" s="6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46" t="str">
        <f>+DK22</f>
        <v>W D V</v>
      </c>
      <c r="DL24" s="62"/>
      <c r="DM24" s="123">
        <f>+DM22-DM23</f>
        <v>4.210000000000002</v>
      </c>
      <c r="DN24" s="63">
        <f>+DN22-DN23</f>
        <v>3.54</v>
      </c>
      <c r="DO24" s="63">
        <f>+DO22-DO23</f>
        <v>0.7100000000000001</v>
      </c>
      <c r="DP24" s="124">
        <f>+DP22-DP23</f>
        <v>8.46</v>
      </c>
      <c r="DQ24" s="34"/>
      <c r="DR24" s="34"/>
      <c r="DS24" s="41"/>
      <c r="DT24" s="41" t="s">
        <v>121</v>
      </c>
      <c r="DU24" s="50">
        <f>+DX23</f>
        <v>12.437500000000007</v>
      </c>
      <c r="DV24" s="50">
        <f>DU24*DV$6/4</f>
        <v>0.27984375000000017</v>
      </c>
      <c r="DW24" s="50">
        <f>+DW23</f>
        <v>0.8291666666666666</v>
      </c>
      <c r="DX24" s="50">
        <f>+DU24-DW24</f>
        <v>11.608333333333341</v>
      </c>
      <c r="DY24" s="64"/>
      <c r="DZ24" s="41"/>
      <c r="EA24" s="41" t="s">
        <v>121</v>
      </c>
      <c r="EB24" s="50"/>
      <c r="EC24" s="50"/>
      <c r="ED24" s="50"/>
      <c r="EE24" s="50"/>
      <c r="EF24" s="64"/>
      <c r="EG24" s="64"/>
      <c r="EH24" s="64"/>
      <c r="EI24" s="34"/>
      <c r="EJ24" s="50"/>
      <c r="EK24" s="50"/>
      <c r="EL24" s="41"/>
      <c r="EM24" s="41"/>
      <c r="EN24" s="43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62"/>
      <c r="FJ24" s="62"/>
      <c r="FK24" s="62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45"/>
      <c r="GA24" s="45"/>
      <c r="GB24" s="45"/>
      <c r="GC24" s="48"/>
      <c r="GD24" s="45"/>
      <c r="GE24" s="45"/>
      <c r="GF24" s="63"/>
      <c r="GG24" s="63"/>
      <c r="GH24" s="63"/>
      <c r="GI24" s="63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41"/>
      <c r="GZ24" s="41"/>
      <c r="HA24" s="44"/>
      <c r="HB24" s="41"/>
      <c r="HC24" s="41"/>
      <c r="HD24" s="50"/>
      <c r="HE24" s="51"/>
      <c r="HF24" s="51"/>
      <c r="HG24" s="51"/>
      <c r="HH24" s="51"/>
      <c r="HI24" s="34"/>
      <c r="HJ24" s="43"/>
      <c r="HK24" s="41"/>
      <c r="HL24" s="34"/>
      <c r="HM24" s="42"/>
      <c r="HN24" s="34"/>
      <c r="HO24" s="34"/>
      <c r="HP24" s="105">
        <v>8</v>
      </c>
      <c r="HQ24" s="138" t="s">
        <v>240</v>
      </c>
      <c r="HR24" s="137">
        <f>+CG13</f>
        <v>3.975018383437483</v>
      </c>
      <c r="HS24" s="137">
        <f>+CH13</f>
        <v>9.245700663124978</v>
      </c>
      <c r="HT24" s="137">
        <f>+CI13</f>
        <v>15.944076377749967</v>
      </c>
      <c r="HU24" s="34"/>
      <c r="HV24" s="81"/>
      <c r="HW24" s="81"/>
      <c r="HX24" s="81">
        <v>17</v>
      </c>
      <c r="HY24" s="81" t="s">
        <v>342</v>
      </c>
      <c r="HZ24" s="84"/>
      <c r="IA24" s="84"/>
      <c r="IB24" s="81"/>
      <c r="IC24" s="81"/>
      <c r="ID24" s="81"/>
      <c r="IE24" s="81"/>
      <c r="IF24" s="81"/>
      <c r="IG24" s="81"/>
      <c r="IH24" s="81"/>
      <c r="II24" s="81"/>
      <c r="IJ24" s="81"/>
    </row>
    <row r="25" spans="1:244" s="233" customFormat="1" ht="17.25" thickBot="1">
      <c r="A25" s="34"/>
      <c r="B25" s="34"/>
      <c r="C25" s="34"/>
      <c r="D25" s="34"/>
      <c r="E25" s="34"/>
      <c r="F25" s="77" t="str">
        <f>+F58</f>
        <v>(Rs. in Crores)</v>
      </c>
      <c r="G25" s="57"/>
      <c r="H25" s="34"/>
      <c r="I25" s="34"/>
      <c r="J25" s="34"/>
      <c r="K25" s="34"/>
      <c r="L25" s="34"/>
      <c r="M25" s="260"/>
      <c r="N25" s="34"/>
      <c r="O25" s="34"/>
      <c r="P25" s="41">
        <f>+P23+1</f>
        <v>7</v>
      </c>
      <c r="Q25" s="41" t="s">
        <v>122</v>
      </c>
      <c r="R25" s="50">
        <v>1</v>
      </c>
      <c r="S25" s="128">
        <v>0.25</v>
      </c>
      <c r="T25" s="129">
        <f>+AG12*R25/12</f>
        <v>7.875</v>
      </c>
      <c r="U25" s="76">
        <f>+T25-V25</f>
        <v>5.90625</v>
      </c>
      <c r="V25" s="130">
        <f>T25*$S25</f>
        <v>1.96875</v>
      </c>
      <c r="W25" s="115">
        <f>+AH12*R25/12</f>
        <v>9.1875</v>
      </c>
      <c r="X25" s="50">
        <f>+W25-Y25</f>
        <v>6.890625</v>
      </c>
      <c r="Y25" s="127">
        <f>W25*$S25</f>
        <v>2.296875</v>
      </c>
      <c r="Z25" s="115">
        <f>+AI12/12*R25</f>
        <v>10.5</v>
      </c>
      <c r="AA25" s="50">
        <f>+Z25-AB25</f>
        <v>7.875</v>
      </c>
      <c r="AB25" s="127">
        <f>Z25*$S25</f>
        <v>2.625</v>
      </c>
      <c r="AC25" s="34"/>
      <c r="AD25" s="34"/>
      <c r="AE25" s="41"/>
      <c r="AF25" s="107" t="s">
        <v>385</v>
      </c>
      <c r="AG25" s="108">
        <f>SUM(AG20:AG24)</f>
        <v>1.2</v>
      </c>
      <c r="AH25" s="108">
        <f>SUM(AH20:AH24)</f>
        <v>1.32</v>
      </c>
      <c r="AI25" s="108">
        <f>SUM(AI20:AI24)</f>
        <v>1.4520000000000002</v>
      </c>
      <c r="AJ25" s="34"/>
      <c r="AK25" s="34"/>
      <c r="AL25" s="41"/>
      <c r="AM25" s="41" t="s">
        <v>545</v>
      </c>
      <c r="AN25" s="486">
        <f>+BL39</f>
        <v>129.6</v>
      </c>
      <c r="AO25" s="486">
        <f>+BM39</f>
        <v>151.2</v>
      </c>
      <c r="AP25" s="486">
        <f>+BN39</f>
        <v>172.8</v>
      </c>
      <c r="AQ25" s="50">
        <f>+AP25*105%</f>
        <v>181.44000000000003</v>
      </c>
      <c r="AR25" s="50">
        <f>+AQ25*105%</f>
        <v>190.51200000000003</v>
      </c>
      <c r="AS25" s="50">
        <f>+AR25*105%</f>
        <v>200.03760000000003</v>
      </c>
      <c r="AT25" s="50">
        <f>+AS25*105%</f>
        <v>210.03948000000003</v>
      </c>
      <c r="AU25" s="50">
        <f>+AT25*105%</f>
        <v>220.54145400000004</v>
      </c>
      <c r="AV25" s="34"/>
      <c r="AW25" s="41"/>
      <c r="AX25" s="41"/>
      <c r="AY25" s="50"/>
      <c r="AZ25" s="50"/>
      <c r="BA25" s="50"/>
      <c r="BB25" s="50"/>
      <c r="BC25" s="50"/>
      <c r="BD25" s="50"/>
      <c r="BE25" s="50"/>
      <c r="BF25" s="50"/>
      <c r="BG25" s="64"/>
      <c r="BH25" s="34"/>
      <c r="BI25" s="41"/>
      <c r="BJ25" s="41" t="str">
        <f>+BJ20</f>
        <v>Product A</v>
      </c>
      <c r="BK25" s="41" t="str">
        <f>+BK20</f>
        <v>Ltrs</v>
      </c>
      <c r="BL25" s="101">
        <f>(+BL9*$BL$28/360*BL13)</f>
        <v>1080000</v>
      </c>
      <c r="BM25" s="101">
        <f>(+BM9*$BM$28)</f>
        <v>1260000</v>
      </c>
      <c r="BN25" s="101">
        <f>(+BN9*$BN$28)</f>
        <v>1440000</v>
      </c>
      <c r="BO25" s="34"/>
      <c r="BP25" s="34"/>
      <c r="BQ25" s="41"/>
      <c r="BR25" s="41"/>
      <c r="BS25" s="396"/>
      <c r="BT25" s="50"/>
      <c r="BU25" s="50"/>
      <c r="BV25" s="50"/>
      <c r="BW25" s="50"/>
      <c r="BX25" s="50"/>
      <c r="BY25" s="50"/>
      <c r="BZ25" s="50"/>
      <c r="CA25" s="50"/>
      <c r="CB25" s="64"/>
      <c r="CC25" s="34"/>
      <c r="CD25" s="41"/>
      <c r="CE25" s="41"/>
      <c r="CF25" s="473"/>
      <c r="CG25" s="50"/>
      <c r="CH25" s="50"/>
      <c r="CI25" s="50"/>
      <c r="CJ25" s="50"/>
      <c r="CK25" s="50"/>
      <c r="CL25" s="50"/>
      <c r="CM25" s="50"/>
      <c r="CN25" s="50"/>
      <c r="CO25" s="6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42" t="str">
        <f>+DK23</f>
        <v>Depreciation  -</v>
      </c>
      <c r="DL25" s="64" t="str">
        <f>+CN7</f>
        <v>2029-30</v>
      </c>
      <c r="DM25" s="37">
        <f>ROUND(DM24*DM$9,2)</f>
        <v>0.42</v>
      </c>
      <c r="DN25" s="36">
        <f>ROUND(DN24*$DN$9,2)</f>
        <v>0.53</v>
      </c>
      <c r="DO25" s="36">
        <f>ROUND(DO24*$DO$9,2)</f>
        <v>0.11</v>
      </c>
      <c r="DP25" s="38">
        <f>SUM(DM25:DO25)</f>
        <v>1.06</v>
      </c>
      <c r="DQ25" s="34"/>
      <c r="DR25" s="34"/>
      <c r="DS25" s="41"/>
      <c r="DT25" s="41" t="s">
        <v>166</v>
      </c>
      <c r="DU25" s="50">
        <f>+DX24</f>
        <v>11.608333333333341</v>
      </c>
      <c r="DV25" s="50">
        <f>DU25*DV$6/4</f>
        <v>0.2611875000000002</v>
      </c>
      <c r="DW25" s="50">
        <f>+DW24</f>
        <v>0.8291666666666666</v>
      </c>
      <c r="DX25" s="50">
        <f>+DU25-DW25</f>
        <v>10.779166666666676</v>
      </c>
      <c r="DY25" s="64"/>
      <c r="DZ25" s="41"/>
      <c r="EA25" s="41" t="s">
        <v>166</v>
      </c>
      <c r="EB25" s="50"/>
      <c r="EC25" s="50"/>
      <c r="ED25" s="50"/>
      <c r="EE25" s="50"/>
      <c r="EF25" s="64"/>
      <c r="EG25" s="64"/>
      <c r="EH25" s="64"/>
      <c r="EI25" s="34"/>
      <c r="EJ25" s="50"/>
      <c r="EK25" s="50"/>
      <c r="EL25" s="41"/>
      <c r="EM25" s="41"/>
      <c r="EN25" s="43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40" t="s">
        <v>101</v>
      </c>
      <c r="FC25" s="40"/>
      <c r="FD25" s="40" t="s">
        <v>131</v>
      </c>
      <c r="FE25" s="40" t="str">
        <f>+FD27</f>
        <v>Amount</v>
      </c>
      <c r="FF25" s="40"/>
      <c r="FG25" s="40"/>
      <c r="FH25" s="40" t="s">
        <v>87</v>
      </c>
      <c r="FI25" s="293"/>
      <c r="FJ25" s="293"/>
      <c r="FK25" s="293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57" t="s">
        <v>0</v>
      </c>
      <c r="GA25" s="57" t="s">
        <v>0</v>
      </c>
      <c r="GB25" s="57" t="str">
        <f>+GB23</f>
        <v> </v>
      </c>
      <c r="GC25" s="288" t="s">
        <v>0</v>
      </c>
      <c r="GD25" s="57" t="s">
        <v>0</v>
      </c>
      <c r="GE25" s="57" t="s">
        <v>0</v>
      </c>
      <c r="GF25" s="64" t="s">
        <v>0</v>
      </c>
      <c r="GG25" s="64"/>
      <c r="GH25" s="64"/>
      <c r="GI25" s="6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41"/>
      <c r="GZ25" s="41"/>
      <c r="HA25" s="44"/>
      <c r="HB25" s="41"/>
      <c r="HC25" s="41"/>
      <c r="HD25" s="50"/>
      <c r="HE25" s="51"/>
      <c r="HF25" s="51"/>
      <c r="HG25" s="51"/>
      <c r="HH25" s="51"/>
      <c r="HI25" s="34"/>
      <c r="HJ25" s="43"/>
      <c r="HK25" s="56" t="s">
        <v>317</v>
      </c>
      <c r="HL25" s="34"/>
      <c r="HM25" s="58">
        <f>SUM(HL14:HL23)</f>
        <v>161.361736785375</v>
      </c>
      <c r="HN25" s="34"/>
      <c r="HO25" s="34"/>
      <c r="HP25" s="105"/>
      <c r="HQ25" s="68"/>
      <c r="HR25" s="68"/>
      <c r="HS25" s="68"/>
      <c r="HT25" s="68"/>
      <c r="HU25" s="34"/>
      <c r="HV25" s="81"/>
      <c r="HW25" s="81"/>
      <c r="HX25" s="81">
        <v>18</v>
      </c>
      <c r="HY25" s="81" t="s">
        <v>349</v>
      </c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</row>
    <row r="26" spans="1:244" s="233" customFormat="1" ht="16.5">
      <c r="A26" s="34"/>
      <c r="B26" s="410" t="s">
        <v>31</v>
      </c>
      <c r="C26" s="416"/>
      <c r="D26" s="411"/>
      <c r="E26" s="411"/>
      <c r="F26" s="417" t="s">
        <v>24</v>
      </c>
      <c r="G26" s="57"/>
      <c r="H26" s="493"/>
      <c r="I26" s="493"/>
      <c r="J26" s="493"/>
      <c r="K26" s="493"/>
      <c r="L26" s="493"/>
      <c r="M26" s="493"/>
      <c r="N26" s="493"/>
      <c r="O26" s="34"/>
      <c r="P26" s="41"/>
      <c r="Q26" s="41"/>
      <c r="R26" s="50"/>
      <c r="S26" s="128"/>
      <c r="T26" s="129"/>
      <c r="U26" s="76"/>
      <c r="V26" s="130"/>
      <c r="W26" s="51"/>
      <c r="X26" s="50"/>
      <c r="Y26" s="127"/>
      <c r="Z26" s="51"/>
      <c r="AA26" s="50"/>
      <c r="AB26" s="127"/>
      <c r="AC26" s="34"/>
      <c r="AD26" s="34"/>
      <c r="AE26" s="41"/>
      <c r="AF26" s="107"/>
      <c r="AG26" s="50"/>
      <c r="AH26" s="50"/>
      <c r="AI26" s="50"/>
      <c r="AJ26" s="34"/>
      <c r="AK26" s="34"/>
      <c r="AL26" s="41"/>
      <c r="AM26" s="405"/>
      <c r="AN26" s="50"/>
      <c r="AO26" s="50"/>
      <c r="AP26" s="50"/>
      <c r="AQ26" s="50"/>
      <c r="AR26" s="50"/>
      <c r="AS26" s="50"/>
      <c r="AT26" s="50"/>
      <c r="AU26" s="50"/>
      <c r="AV26" s="34"/>
      <c r="AW26" s="41"/>
      <c r="AX26" s="41" t="s">
        <v>386</v>
      </c>
      <c r="AY26" s="50">
        <f aca="true" t="shared" si="52" ref="AY26:BF26">CG19/CG14</f>
        <v>1.5816113237499156</v>
      </c>
      <c r="AZ26" s="50">
        <f t="shared" si="52"/>
        <v>1.3558825919719204</v>
      </c>
      <c r="BA26" s="50">
        <f t="shared" si="52"/>
        <v>1.1492569965069133</v>
      </c>
      <c r="BB26" s="50">
        <f t="shared" si="52"/>
        <v>0.9010782048743229</v>
      </c>
      <c r="BC26" s="50">
        <f t="shared" si="52"/>
        <v>0.710483732147985</v>
      </c>
      <c r="BD26" s="50">
        <f t="shared" si="52"/>
        <v>0.5605673857979562</v>
      </c>
      <c r="BE26" s="50">
        <f t="shared" si="52"/>
        <v>0.442692390003625</v>
      </c>
      <c r="BF26" s="50">
        <f t="shared" si="52"/>
        <v>0.3883894779562748</v>
      </c>
      <c r="BG26" s="64"/>
      <c r="BH26" s="34"/>
      <c r="BI26" s="41"/>
      <c r="BJ26" s="41" t="str">
        <f>+BJ21</f>
        <v>Product B</v>
      </c>
      <c r="BK26" s="41" t="str">
        <f>+BK21</f>
        <v>Ltrs</v>
      </c>
      <c r="BL26" s="101">
        <f>(+BL10*$BL$28/360*BL13)</f>
        <v>1260000</v>
      </c>
      <c r="BM26" s="101">
        <f>(+BM10*$BM$28)</f>
        <v>1470000</v>
      </c>
      <c r="BN26" s="101">
        <f>(+BN10*$BN$28)</f>
        <v>1680000</v>
      </c>
      <c r="BO26" s="34"/>
      <c r="BP26" s="34"/>
      <c r="BQ26" s="41"/>
      <c r="BR26" s="41"/>
      <c r="BS26" s="396"/>
      <c r="BT26" s="50"/>
      <c r="BU26" s="50"/>
      <c r="BV26" s="50"/>
      <c r="BW26" s="50"/>
      <c r="BX26" s="50"/>
      <c r="BY26" s="50"/>
      <c r="BZ26" s="50"/>
      <c r="CA26" s="50"/>
      <c r="CB26" s="64"/>
      <c r="CC26" s="34"/>
      <c r="CD26" s="41">
        <v>1</v>
      </c>
      <c r="CE26" s="41" t="s">
        <v>356</v>
      </c>
      <c r="CF26" s="474">
        <f>BS27</f>
        <v>0</v>
      </c>
      <c r="CG26" s="50">
        <f>CT17</f>
        <v>28.3</v>
      </c>
      <c r="CH26" s="50">
        <f>+CG26+BU27</f>
        <v>28.3</v>
      </c>
      <c r="CI26" s="50">
        <f aca="true" t="shared" si="53" ref="CI26:CN26">+CH26</f>
        <v>28.3</v>
      </c>
      <c r="CJ26" s="50">
        <f t="shared" si="53"/>
        <v>28.3</v>
      </c>
      <c r="CK26" s="50">
        <f t="shared" si="53"/>
        <v>28.3</v>
      </c>
      <c r="CL26" s="50">
        <f t="shared" si="53"/>
        <v>28.3</v>
      </c>
      <c r="CM26" s="50">
        <f t="shared" si="53"/>
        <v>28.3</v>
      </c>
      <c r="CN26" s="50">
        <f t="shared" si="53"/>
        <v>28.3</v>
      </c>
      <c r="CO26" s="6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42"/>
      <c r="DL26" s="64"/>
      <c r="DM26" s="42"/>
      <c r="DN26" s="41"/>
      <c r="DO26" s="41"/>
      <c r="DP26" s="43"/>
      <c r="DQ26" s="34"/>
      <c r="DR26" s="34"/>
      <c r="DS26" s="41"/>
      <c r="DT26" s="41" t="s">
        <v>274</v>
      </c>
      <c r="DU26" s="50">
        <f>+DX25</f>
        <v>10.779166666666676</v>
      </c>
      <c r="DV26" s="50">
        <f>DU26*DV$6/4</f>
        <v>0.2425312500000002</v>
      </c>
      <c r="DW26" s="50">
        <f>+DW25</f>
        <v>0.8291666666666666</v>
      </c>
      <c r="DX26" s="50">
        <f>+DU26-DW26</f>
        <v>9.95000000000001</v>
      </c>
      <c r="DY26" s="64"/>
      <c r="DZ26" s="41"/>
      <c r="EA26" s="41"/>
      <c r="EB26" s="50"/>
      <c r="EC26" s="50"/>
      <c r="ED26" s="50"/>
      <c r="EE26" s="50"/>
      <c r="EF26" s="64"/>
      <c r="EG26" s="64"/>
      <c r="EH26" s="64"/>
      <c r="EI26" s="34"/>
      <c r="EJ26" s="50"/>
      <c r="EK26" s="50"/>
      <c r="EL26" s="41"/>
      <c r="EM26" s="41"/>
      <c r="EN26" s="43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44"/>
      <c r="FC26" s="44"/>
      <c r="FD26" s="44"/>
      <c r="FE26" s="44"/>
      <c r="FF26" s="44"/>
      <c r="FG26" s="44"/>
      <c r="FH26" s="44"/>
      <c r="FI26" s="293"/>
      <c r="FJ26" s="293"/>
      <c r="FK26" s="293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57"/>
      <c r="GA26" s="57"/>
      <c r="GB26" s="57"/>
      <c r="GC26" s="288"/>
      <c r="GD26" s="57"/>
      <c r="GE26" s="57"/>
      <c r="GF26" s="64"/>
      <c r="GG26" s="64"/>
      <c r="GH26" s="64"/>
      <c r="GI26" s="6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41"/>
      <c r="GZ26" s="41"/>
      <c r="HA26" s="44"/>
      <c r="HB26" s="41"/>
      <c r="HC26" s="41"/>
      <c r="HD26" s="50"/>
      <c r="HE26" s="51"/>
      <c r="HF26" s="51"/>
      <c r="HG26" s="51"/>
      <c r="HH26" s="51"/>
      <c r="HI26" s="34"/>
      <c r="HJ26" s="43"/>
      <c r="HK26" s="56"/>
      <c r="HL26" s="34"/>
      <c r="HM26" s="58"/>
      <c r="HN26" s="34"/>
      <c r="HO26" s="34"/>
      <c r="HP26" s="105"/>
      <c r="HQ26" s="68"/>
      <c r="HR26" s="68"/>
      <c r="HS26" s="68"/>
      <c r="HT26" s="68"/>
      <c r="HU26" s="34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</row>
    <row r="27" spans="1:244" s="233" customFormat="1" ht="17.25" thickBot="1">
      <c r="A27" s="34"/>
      <c r="B27" s="414" t="s">
        <v>46</v>
      </c>
      <c r="C27" s="502" t="s">
        <v>29</v>
      </c>
      <c r="D27" s="503"/>
      <c r="E27" s="503"/>
      <c r="F27" s="418" t="s">
        <v>42</v>
      </c>
      <c r="G27" s="57"/>
      <c r="H27" s="34"/>
      <c r="I27" s="34"/>
      <c r="J27" s="34"/>
      <c r="K27" s="34"/>
      <c r="L27" s="34"/>
      <c r="M27" s="34"/>
      <c r="N27" s="34"/>
      <c r="O27" s="34"/>
      <c r="P27" s="41"/>
      <c r="Q27" s="45"/>
      <c r="R27" s="63"/>
      <c r="S27" s="309"/>
      <c r="T27" s="133"/>
      <c r="U27" s="63"/>
      <c r="V27" s="310"/>
      <c r="W27" s="63"/>
      <c r="X27" s="63"/>
      <c r="Y27" s="310"/>
      <c r="Z27" s="63"/>
      <c r="AA27" s="63"/>
      <c r="AB27" s="310"/>
      <c r="AC27" s="34"/>
      <c r="AD27" s="34"/>
      <c r="AE27" s="41"/>
      <c r="AF27" s="41"/>
      <c r="AG27" s="50"/>
      <c r="AH27" s="50"/>
      <c r="AI27" s="50"/>
      <c r="AJ27" s="34"/>
      <c r="AK27" s="34"/>
      <c r="AL27" s="41"/>
      <c r="AM27" s="41"/>
      <c r="AN27" s="439">
        <f>AN25+AN26</f>
        <v>129.6</v>
      </c>
      <c r="AO27" s="439">
        <f aca="true" t="shared" si="54" ref="AO27:AU27">AO25+AO26</f>
        <v>151.2</v>
      </c>
      <c r="AP27" s="439">
        <f t="shared" si="54"/>
        <v>172.8</v>
      </c>
      <c r="AQ27" s="439">
        <f t="shared" si="54"/>
        <v>181.44000000000003</v>
      </c>
      <c r="AR27" s="439">
        <f t="shared" si="54"/>
        <v>190.51200000000003</v>
      </c>
      <c r="AS27" s="439">
        <f t="shared" si="54"/>
        <v>200.03760000000003</v>
      </c>
      <c r="AT27" s="439">
        <f t="shared" si="54"/>
        <v>210.03948000000003</v>
      </c>
      <c r="AU27" s="439">
        <f t="shared" si="54"/>
        <v>220.54145400000004</v>
      </c>
      <c r="AV27" s="34"/>
      <c r="AW27" s="41"/>
      <c r="AX27" s="41"/>
      <c r="AY27" s="50"/>
      <c r="AZ27" s="50"/>
      <c r="BA27" s="50"/>
      <c r="BB27" s="50"/>
      <c r="BC27" s="50"/>
      <c r="BD27" s="50"/>
      <c r="BE27" s="50"/>
      <c r="BF27" s="50"/>
      <c r="BG27" s="64"/>
      <c r="BH27" s="34"/>
      <c r="BI27" s="41"/>
      <c r="BJ27" s="41"/>
      <c r="BK27" s="41"/>
      <c r="BL27" s="41"/>
      <c r="BM27" s="41"/>
      <c r="BN27" s="41"/>
      <c r="BO27" s="34"/>
      <c r="BP27" s="34"/>
      <c r="BQ27" s="41">
        <v>1</v>
      </c>
      <c r="BR27" s="41" t="s">
        <v>356</v>
      </c>
      <c r="BS27" s="397"/>
      <c r="BT27" s="50">
        <f>K23+M23+J23-K20-M20</f>
        <v>28.299999999999997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64"/>
      <c r="CC27" s="34"/>
      <c r="CD27" s="41"/>
      <c r="CE27" s="41" t="s">
        <v>251</v>
      </c>
      <c r="CF27" s="476">
        <v>0</v>
      </c>
      <c r="CG27" s="50">
        <f>+AY15</f>
        <v>1.5699999999999998</v>
      </c>
      <c r="CH27" s="50">
        <f aca="true" t="shared" si="55" ref="CH27:CN27">+AZ15+CG27</f>
        <v>3.0614999999999997</v>
      </c>
      <c r="CI27" s="50">
        <f t="shared" si="55"/>
        <v>4.478425</v>
      </c>
      <c r="CJ27" s="50">
        <f t="shared" si="55"/>
        <v>5.82450375</v>
      </c>
      <c r="CK27" s="50">
        <f t="shared" si="55"/>
        <v>7.1032785625</v>
      </c>
      <c r="CL27" s="50">
        <f t="shared" si="55"/>
        <v>8.318114634375</v>
      </c>
      <c r="CM27" s="50">
        <f t="shared" si="55"/>
        <v>9.47220890265625</v>
      </c>
      <c r="CN27" s="50">
        <f t="shared" si="55"/>
        <v>10.568598457523438</v>
      </c>
      <c r="CO27" s="6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46" t="str">
        <f>+DK24</f>
        <v>W D V</v>
      </c>
      <c r="DL27" s="62"/>
      <c r="DM27" s="123">
        <f>+DM24-DM25</f>
        <v>3.790000000000002</v>
      </c>
      <c r="DN27" s="63">
        <f>+DN24-DN25</f>
        <v>3.01</v>
      </c>
      <c r="DO27" s="63">
        <f>+DO24-DO25</f>
        <v>0.6000000000000001</v>
      </c>
      <c r="DP27" s="124">
        <f>+DP24-DP25</f>
        <v>7.4</v>
      </c>
      <c r="DQ27" s="34"/>
      <c r="DR27" s="34"/>
      <c r="DS27" s="106"/>
      <c r="DT27" s="106"/>
      <c r="DU27" s="108"/>
      <c r="DV27" s="108">
        <f>SUM(DV23:DV26)</f>
        <v>1.0820625000000006</v>
      </c>
      <c r="DW27" s="108">
        <f>SUM(DW23:DW26)</f>
        <v>3.3166666666666664</v>
      </c>
      <c r="DX27" s="108"/>
      <c r="DY27" s="64"/>
      <c r="DZ27" s="41"/>
      <c r="EA27" s="41" t="s">
        <v>274</v>
      </c>
      <c r="EB27" s="50"/>
      <c r="EC27" s="50"/>
      <c r="ED27" s="50"/>
      <c r="EE27" s="50"/>
      <c r="EF27" s="64"/>
      <c r="EG27" s="64"/>
      <c r="EH27" s="64"/>
      <c r="EI27" s="34"/>
      <c r="EJ27" s="50"/>
      <c r="EK27" s="50"/>
      <c r="EL27" s="41"/>
      <c r="EM27" s="41"/>
      <c r="EN27" s="43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44" t="s">
        <v>357</v>
      </c>
      <c r="FC27" s="44"/>
      <c r="FD27" s="44" t="s">
        <v>42</v>
      </c>
      <c r="FE27" s="44" t="str">
        <f>+FG11</f>
        <v>Outstanding</v>
      </c>
      <c r="FF27" s="44"/>
      <c r="FG27" s="44"/>
      <c r="FH27" s="44" t="s">
        <v>129</v>
      </c>
      <c r="FI27" s="293" t="s">
        <v>155</v>
      </c>
      <c r="FJ27" s="293"/>
      <c r="FK27" s="293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57"/>
      <c r="GA27" s="57"/>
      <c r="GB27" s="57"/>
      <c r="GC27" s="288"/>
      <c r="GD27" s="57" t="s">
        <v>0</v>
      </c>
      <c r="GE27" s="57" t="s">
        <v>0</v>
      </c>
      <c r="GF27" s="64" t="s">
        <v>0</v>
      </c>
      <c r="GG27" s="64"/>
      <c r="GH27" s="64"/>
      <c r="GI27" s="6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41"/>
      <c r="GZ27" s="41"/>
      <c r="HA27" s="44"/>
      <c r="HB27" s="41"/>
      <c r="HC27" s="41"/>
      <c r="HD27" s="50"/>
      <c r="HE27" s="51"/>
      <c r="HF27" s="51"/>
      <c r="HG27" s="51"/>
      <c r="HH27" s="51"/>
      <c r="HI27" s="34"/>
      <c r="HJ27" s="43"/>
      <c r="HK27" s="41" t="s">
        <v>326</v>
      </c>
      <c r="HL27" s="41"/>
      <c r="HM27" s="58">
        <f>+HM10-HM25</f>
        <v>11.43826321462501</v>
      </c>
      <c r="HN27" s="34"/>
      <c r="HO27" s="34"/>
      <c r="HP27" s="105">
        <v>9</v>
      </c>
      <c r="HQ27" s="68" t="s">
        <v>358</v>
      </c>
      <c r="HR27" s="137">
        <f>+HR24+HR22-CG38</f>
        <v>8.075018383437483</v>
      </c>
      <c r="HS27" s="137">
        <f>+HS24+HS22-CH38</f>
        <v>13.545700663124979</v>
      </c>
      <c r="HT27" s="137">
        <f>+HT24+HT22-CI38</f>
        <v>20.444076377749965</v>
      </c>
      <c r="HU27" s="34"/>
      <c r="HV27" s="81"/>
      <c r="HW27" s="81"/>
      <c r="HX27" s="81">
        <v>19</v>
      </c>
      <c r="HY27" s="81" t="s">
        <v>359</v>
      </c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</row>
    <row r="28" spans="1:244" s="233" customFormat="1" ht="16.5">
      <c r="A28" s="34"/>
      <c r="B28" s="408"/>
      <c r="C28" s="406"/>
      <c r="D28" s="407"/>
      <c r="E28" s="407"/>
      <c r="F28" s="409"/>
      <c r="G28" s="57"/>
      <c r="H28" s="34"/>
      <c r="I28" s="34"/>
      <c r="J28" s="34"/>
      <c r="K28" s="34"/>
      <c r="L28" s="34"/>
      <c r="M28" s="34"/>
      <c r="N28" s="34"/>
      <c r="O28" s="34"/>
      <c r="P28" s="41"/>
      <c r="Q28" s="429" t="s">
        <v>511</v>
      </c>
      <c r="R28" s="430"/>
      <c r="S28" s="431"/>
      <c r="T28" s="432">
        <f aca="true" t="shared" si="56" ref="T28:AB28">+T22-T25</f>
        <v>39.3654375</v>
      </c>
      <c r="U28" s="430">
        <f t="shared" si="56"/>
        <v>24.664078124999996</v>
      </c>
      <c r="V28" s="490">
        <f t="shared" si="56"/>
        <v>14.701359375000003</v>
      </c>
      <c r="W28" s="432">
        <f t="shared" si="56"/>
        <v>45.9159375</v>
      </c>
      <c r="X28" s="430">
        <f t="shared" si="56"/>
        <v>28.766953125</v>
      </c>
      <c r="Y28" s="430">
        <f t="shared" si="56"/>
        <v>17.148984374999998</v>
      </c>
      <c r="Z28" s="432">
        <f t="shared" si="56"/>
        <v>52.467675000000014</v>
      </c>
      <c r="AA28" s="430">
        <f t="shared" si="56"/>
        <v>32.87075625000001</v>
      </c>
      <c r="AB28" s="430">
        <f t="shared" si="56"/>
        <v>19.596918750000004</v>
      </c>
      <c r="AC28" s="34"/>
      <c r="AD28" s="34"/>
      <c r="AE28" s="41">
        <f>+AE21+1</f>
        <v>3</v>
      </c>
      <c r="AF28" s="41" t="s">
        <v>395</v>
      </c>
      <c r="AG28" s="50"/>
      <c r="AH28" s="50"/>
      <c r="AI28" s="50"/>
      <c r="AJ28" s="34"/>
      <c r="AK28" s="34"/>
      <c r="AL28" s="41"/>
      <c r="AM28" s="41"/>
      <c r="AN28" s="50"/>
      <c r="AO28" s="50"/>
      <c r="AP28" s="50"/>
      <c r="AQ28" s="50"/>
      <c r="AR28" s="50"/>
      <c r="AS28" s="50"/>
      <c r="AT28" s="50"/>
      <c r="AU28" s="50"/>
      <c r="AV28" s="34"/>
      <c r="AW28" s="41"/>
      <c r="AX28" s="41" t="s">
        <v>398</v>
      </c>
      <c r="AY28" s="50">
        <f aca="true" t="shared" si="57" ref="AY28:BE28">+CG28/CG17</f>
        <v>1.3432160804020101</v>
      </c>
      <c r="AZ28" s="50">
        <f t="shared" si="57"/>
        <v>1.5219195979899496</v>
      </c>
      <c r="BA28" s="50">
        <f t="shared" si="57"/>
        <v>1.7955961055276375</v>
      </c>
      <c r="BB28" s="50">
        <f t="shared" si="57"/>
        <v>2.258843844221103</v>
      </c>
      <c r="BC28" s="50">
        <f t="shared" si="57"/>
        <v>3.195485643844216</v>
      </c>
      <c r="BD28" s="50">
        <f t="shared" si="57"/>
        <v>6.024689054962289</v>
      </c>
      <c r="BE28" s="50">
        <f t="shared" si="57"/>
        <v>1514157731610836.5</v>
      </c>
      <c r="BF28" s="50">
        <f>+CN28/CN17*0</f>
        <v>0</v>
      </c>
      <c r="BG28" s="64"/>
      <c r="BH28" s="34"/>
      <c r="BI28" s="41">
        <f>+BI23+1</f>
        <v>6</v>
      </c>
      <c r="BJ28" s="41" t="s">
        <v>373</v>
      </c>
      <c r="BK28" s="41"/>
      <c r="BL28" s="99">
        <v>0.6</v>
      </c>
      <c r="BM28" s="99">
        <v>0.7</v>
      </c>
      <c r="BN28" s="99">
        <v>0.8</v>
      </c>
      <c r="BO28" s="34"/>
      <c r="BP28" s="34"/>
      <c r="BQ28" s="41">
        <f>+BQ27+1</f>
        <v>2</v>
      </c>
      <c r="BR28" s="41" t="s">
        <v>382</v>
      </c>
      <c r="BS28" s="397"/>
      <c r="BT28" s="50">
        <f>K20+M20</f>
        <v>1.1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64"/>
      <c r="CC28" s="34"/>
      <c r="CD28" s="41"/>
      <c r="CE28" s="107" t="s">
        <v>374</v>
      </c>
      <c r="CF28" s="475">
        <f aca="true" t="shared" si="58" ref="CF28:CN28">+CF26-CF27</f>
        <v>0</v>
      </c>
      <c r="CG28" s="108">
        <f t="shared" si="58"/>
        <v>26.73</v>
      </c>
      <c r="CH28" s="108">
        <f t="shared" si="58"/>
        <v>25.238500000000002</v>
      </c>
      <c r="CI28" s="108">
        <f t="shared" si="58"/>
        <v>23.821575000000003</v>
      </c>
      <c r="CJ28" s="108">
        <f t="shared" si="58"/>
        <v>22.47549625</v>
      </c>
      <c r="CK28" s="108">
        <f t="shared" si="58"/>
        <v>21.196721437500003</v>
      </c>
      <c r="CL28" s="108">
        <f t="shared" si="58"/>
        <v>19.981885365625</v>
      </c>
      <c r="CM28" s="108">
        <f t="shared" si="58"/>
        <v>18.82779109734375</v>
      </c>
      <c r="CN28" s="108">
        <f t="shared" si="58"/>
        <v>17.73140154247656</v>
      </c>
      <c r="CO28" s="6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41" t="str">
        <f>+DL19</f>
        <v>2026-27</v>
      </c>
      <c r="DT28" s="41" t="s">
        <v>81</v>
      </c>
      <c r="DU28" s="50">
        <f>+DX26</f>
        <v>9.95000000000001</v>
      </c>
      <c r="DV28" s="50">
        <f>+DU28*$DV$6/4</f>
        <v>0.2238750000000002</v>
      </c>
      <c r="DW28" s="126">
        <f>+DW26</f>
        <v>0.8291666666666666</v>
      </c>
      <c r="DX28" s="50">
        <f>+DU28-DW28</f>
        <v>9.120833333333344</v>
      </c>
      <c r="DY28" s="64"/>
      <c r="DZ28" s="41"/>
      <c r="EA28" s="41"/>
      <c r="EB28" s="50"/>
      <c r="EC28" s="108"/>
      <c r="ED28" s="108"/>
      <c r="EE28" s="50"/>
      <c r="EF28" s="64"/>
      <c r="EG28" s="64"/>
      <c r="EH28" s="64"/>
      <c r="EI28" s="34"/>
      <c r="EJ28" s="50"/>
      <c r="EK28" s="50"/>
      <c r="EL28" s="41"/>
      <c r="EM28" s="41"/>
      <c r="EN28" s="43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44" t="s">
        <v>360</v>
      </c>
      <c r="FC28" s="44" t="s">
        <v>361</v>
      </c>
      <c r="FD28" s="44" t="s">
        <v>362</v>
      </c>
      <c r="FE28" s="44" t="str">
        <f>+FD28</f>
        <v>(Rs. in</v>
      </c>
      <c r="FF28" s="44" t="s">
        <v>140</v>
      </c>
      <c r="FG28" s="44" t="s">
        <v>172</v>
      </c>
      <c r="FH28" s="44" t="s">
        <v>170</v>
      </c>
      <c r="FI28" s="293" t="s">
        <v>363</v>
      </c>
      <c r="FJ28" s="293" t="s">
        <v>364</v>
      </c>
      <c r="FK28" s="293" t="s">
        <v>175</v>
      </c>
      <c r="FL28" s="34"/>
      <c r="FM28" s="34"/>
      <c r="FN28" s="34"/>
      <c r="FO28" s="286" t="s">
        <v>365</v>
      </c>
      <c r="FP28" s="116"/>
      <c r="FQ28" s="116"/>
      <c r="FR28" s="116"/>
      <c r="FS28" s="116"/>
      <c r="FT28" s="34"/>
      <c r="FU28" s="34"/>
      <c r="FV28" s="34"/>
      <c r="FW28" s="34"/>
      <c r="FX28" s="34"/>
      <c r="FY28" s="34"/>
      <c r="FZ28" s="57" t="s">
        <v>0</v>
      </c>
      <c r="GA28" s="57" t="s">
        <v>0</v>
      </c>
      <c r="GB28" s="57" t="str">
        <f>+GB25</f>
        <v> </v>
      </c>
      <c r="GC28" s="288" t="s">
        <v>0</v>
      </c>
      <c r="GD28" s="57" t="s">
        <v>0</v>
      </c>
      <c r="GE28" s="57" t="s">
        <v>0</v>
      </c>
      <c r="GF28" s="64" t="s">
        <v>0</v>
      </c>
      <c r="GG28" s="64"/>
      <c r="GH28" s="64"/>
      <c r="GI28" s="6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41"/>
      <c r="GZ28" s="41"/>
      <c r="HA28" s="44"/>
      <c r="HB28" s="41"/>
      <c r="HC28" s="41"/>
      <c r="HD28" s="50"/>
      <c r="HE28" s="51"/>
      <c r="HF28" s="51"/>
      <c r="HG28" s="51"/>
      <c r="HH28" s="51"/>
      <c r="HI28" s="34"/>
      <c r="HJ28" s="43"/>
      <c r="HK28" s="41" t="s">
        <v>335</v>
      </c>
      <c r="HL28" s="41"/>
      <c r="HM28" s="395">
        <f>+HM27/HM10</f>
        <v>0.06619365286241324</v>
      </c>
      <c r="HN28" s="34"/>
      <c r="HO28" s="34"/>
      <c r="HP28" s="105"/>
      <c r="HQ28" s="68"/>
      <c r="HR28" s="68"/>
      <c r="HS28" s="68"/>
      <c r="HT28" s="68"/>
      <c r="HU28" s="34"/>
      <c r="HV28" s="81"/>
      <c r="HW28" s="81"/>
      <c r="HX28" s="81">
        <v>20</v>
      </c>
      <c r="HY28" s="81" t="s">
        <v>367</v>
      </c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</row>
    <row r="29" spans="1:244" s="233" customFormat="1" ht="16.5">
      <c r="A29" s="34"/>
      <c r="B29" s="41"/>
      <c r="C29" s="42"/>
      <c r="D29" s="57"/>
      <c r="E29" s="43"/>
      <c r="F29" s="50"/>
      <c r="G29" s="57"/>
      <c r="H29" s="34"/>
      <c r="I29" s="34"/>
      <c r="J29" s="34"/>
      <c r="K29" s="34"/>
      <c r="L29" s="34"/>
      <c r="M29" s="34"/>
      <c r="N29" s="34"/>
      <c r="O29" s="34"/>
      <c r="P29" s="41">
        <f>+P25+1</f>
        <v>8</v>
      </c>
      <c r="Q29" s="55"/>
      <c r="R29" s="64"/>
      <c r="S29" s="311"/>
      <c r="T29" s="57"/>
      <c r="U29" s="57"/>
      <c r="V29" s="64"/>
      <c r="W29" s="57"/>
      <c r="X29" s="57"/>
      <c r="Y29" s="57"/>
      <c r="Z29" s="57"/>
      <c r="AA29" s="57"/>
      <c r="AB29" s="57"/>
      <c r="AC29" s="34"/>
      <c r="AD29" s="276"/>
      <c r="AE29" s="41"/>
      <c r="AF29" s="41"/>
      <c r="AG29" s="50"/>
      <c r="AH29" s="50"/>
      <c r="AI29" s="50"/>
      <c r="AJ29" s="34"/>
      <c r="AK29" s="34"/>
      <c r="AL29" s="41" t="s">
        <v>540</v>
      </c>
      <c r="AM29" s="98" t="s">
        <v>453</v>
      </c>
      <c r="AN29" s="50">
        <f>+AN27-AN21</f>
        <v>10.232999999999976</v>
      </c>
      <c r="AO29" s="50">
        <f aca="true" t="shared" si="59" ref="AO29:AU29">+AO27-AO21</f>
        <v>12.200999999999993</v>
      </c>
      <c r="AP29" s="50">
        <f t="shared" si="59"/>
        <v>14.134799999999984</v>
      </c>
      <c r="AQ29" s="50">
        <f t="shared" si="59"/>
        <v>14.75442000000001</v>
      </c>
      <c r="AR29" s="50">
        <f t="shared" si="59"/>
        <v>15.396309000000002</v>
      </c>
      <c r="AS29" s="50">
        <f t="shared" si="59"/>
        <v>16.060709250000002</v>
      </c>
      <c r="AT29" s="50">
        <f t="shared" si="59"/>
        <v>16.747787992500008</v>
      </c>
      <c r="AU29" s="50">
        <f t="shared" si="59"/>
        <v>17.457625000125006</v>
      </c>
      <c r="AV29" s="34"/>
      <c r="AW29" s="41"/>
      <c r="AX29" s="56" t="s">
        <v>401</v>
      </c>
      <c r="AY29" s="50"/>
      <c r="AZ29" s="50"/>
      <c r="BA29" s="50"/>
      <c r="BB29" s="50"/>
      <c r="BC29" s="50"/>
      <c r="BD29" s="50"/>
      <c r="BE29" s="50"/>
      <c r="BF29" s="50"/>
      <c r="BG29" s="287"/>
      <c r="BH29" s="34"/>
      <c r="BI29" s="41"/>
      <c r="BJ29" s="41"/>
      <c r="BK29" s="41"/>
      <c r="BL29" s="99"/>
      <c r="BM29" s="99"/>
      <c r="BN29" s="99"/>
      <c r="BO29" s="34"/>
      <c r="BP29" s="34"/>
      <c r="BQ29" s="41">
        <v>3</v>
      </c>
      <c r="BR29" s="41" t="s">
        <v>392</v>
      </c>
      <c r="BS29" s="396"/>
      <c r="BT29" s="483">
        <f>+T28</f>
        <v>39.3654375</v>
      </c>
      <c r="BU29" s="50">
        <f>+W28-T28</f>
        <v>6.5504999999999995</v>
      </c>
      <c r="BV29" s="50">
        <f>Z28-W28</f>
        <v>6.551737500000016</v>
      </c>
      <c r="BW29" s="50">
        <f>AA30-X36</f>
        <v>0</v>
      </c>
      <c r="BX29" s="50">
        <f>BW29</f>
        <v>0</v>
      </c>
      <c r="BY29" s="50">
        <f>BX29</f>
        <v>0</v>
      </c>
      <c r="BZ29" s="50">
        <f>BY29</f>
        <v>0</v>
      </c>
      <c r="CA29" s="50">
        <f>BZ29</f>
        <v>0</v>
      </c>
      <c r="CB29" s="64"/>
      <c r="CC29" s="34"/>
      <c r="CD29" s="41"/>
      <c r="CE29" s="41"/>
      <c r="CF29" s="473"/>
      <c r="CG29" s="50"/>
      <c r="CH29" s="50"/>
      <c r="CI29" s="50"/>
      <c r="CJ29" s="50"/>
      <c r="CK29" s="50"/>
      <c r="CL29" s="50"/>
      <c r="CM29" s="50"/>
      <c r="CN29" s="50"/>
      <c r="CO29" s="6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41"/>
      <c r="DT29" s="41" t="s">
        <v>121</v>
      </c>
      <c r="DU29" s="50">
        <f>+DX28</f>
        <v>9.120833333333344</v>
      </c>
      <c r="DV29" s="50">
        <f>+DU29*$DV$6/4</f>
        <v>0.20521875000000023</v>
      </c>
      <c r="DW29" s="50">
        <f>+DW28</f>
        <v>0.8291666666666666</v>
      </c>
      <c r="DX29" s="50">
        <f>+DU29-DW29</f>
        <v>8.291666666666679</v>
      </c>
      <c r="DY29" s="64"/>
      <c r="DZ29" s="41" t="str">
        <f>+DS28</f>
        <v>2026-27</v>
      </c>
      <c r="EA29" s="41" t="s">
        <v>81</v>
      </c>
      <c r="EB29" s="50"/>
      <c r="EC29" s="50"/>
      <c r="ED29" s="126"/>
      <c r="EE29" s="50"/>
      <c r="EF29" s="64"/>
      <c r="EG29" s="64"/>
      <c r="EH29" s="64"/>
      <c r="EI29" s="34"/>
      <c r="EJ29" s="63"/>
      <c r="EK29" s="63"/>
      <c r="EL29" s="45"/>
      <c r="EM29" s="45"/>
      <c r="EN29" s="47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48" t="s">
        <v>375</v>
      </c>
      <c r="FC29" s="48" t="s">
        <v>376</v>
      </c>
      <c r="FD29" s="48" t="s">
        <v>377</v>
      </c>
      <c r="FE29" s="48" t="str">
        <f>+FD29</f>
        <v>lacs)</v>
      </c>
      <c r="FF29" s="48" t="s">
        <v>181</v>
      </c>
      <c r="FG29" s="48" t="s">
        <v>212</v>
      </c>
      <c r="FH29" s="48" t="s">
        <v>208</v>
      </c>
      <c r="FI29" s="234" t="s">
        <v>94</v>
      </c>
      <c r="FJ29" s="234" t="s">
        <v>180</v>
      </c>
      <c r="FK29" s="234" t="s">
        <v>214</v>
      </c>
      <c r="FL29" s="34"/>
      <c r="FM29" s="34"/>
      <c r="FN29" s="34"/>
      <c r="FO29" s="286" t="s">
        <v>378</v>
      </c>
      <c r="FP29" s="116"/>
      <c r="FQ29" s="116"/>
      <c r="FR29" s="116"/>
      <c r="FS29" s="116"/>
      <c r="FT29" s="34"/>
      <c r="FU29" s="34"/>
      <c r="FV29" s="34"/>
      <c r="FW29" s="34"/>
      <c r="FX29" s="34"/>
      <c r="FY29" s="34"/>
      <c r="FZ29" s="57"/>
      <c r="GA29" s="57"/>
      <c r="GB29" s="57"/>
      <c r="GC29" s="57"/>
      <c r="GD29" s="57"/>
      <c r="GE29" s="57"/>
      <c r="GF29" s="64" t="s">
        <v>0</v>
      </c>
      <c r="GG29" s="64"/>
      <c r="GH29" s="64"/>
      <c r="GI29" s="6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41"/>
      <c r="GZ29" s="41"/>
      <c r="HA29" s="44"/>
      <c r="HB29" s="41"/>
      <c r="HC29" s="41"/>
      <c r="HD29" s="50"/>
      <c r="HE29" s="51"/>
      <c r="HF29" s="51"/>
      <c r="HG29" s="51"/>
      <c r="HH29" s="51"/>
      <c r="HI29" s="34"/>
      <c r="HJ29" s="43"/>
      <c r="HK29" s="41"/>
      <c r="HL29" s="41"/>
      <c r="HM29" s="42"/>
      <c r="HN29" s="34"/>
      <c r="HO29" s="34"/>
      <c r="HP29" s="105">
        <v>11</v>
      </c>
      <c r="HQ29" s="68" t="str">
        <f>+AX26</f>
        <v>Debt Equity Ratio</v>
      </c>
      <c r="HR29" s="137">
        <f>+AY26</f>
        <v>1.5816113237499156</v>
      </c>
      <c r="HS29" s="137">
        <f>+AZ26</f>
        <v>1.3558825919719204</v>
      </c>
      <c r="HT29" s="137">
        <f>+BA26</f>
        <v>1.1492569965069133</v>
      </c>
      <c r="HU29" s="34"/>
      <c r="HV29" s="81"/>
      <c r="HW29" s="81"/>
      <c r="HX29" s="81">
        <v>21</v>
      </c>
      <c r="HY29" s="81" t="s">
        <v>379</v>
      </c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</row>
    <row r="30" spans="1:244" s="233" customFormat="1" ht="16.5">
      <c r="A30" s="34"/>
      <c r="B30" s="41"/>
      <c r="C30" s="42"/>
      <c r="D30" s="57"/>
      <c r="E30" s="43"/>
      <c r="F30" s="50"/>
      <c r="G30" s="57"/>
      <c r="H30" s="34"/>
      <c r="I30" s="34"/>
      <c r="J30" s="34"/>
      <c r="K30" s="34"/>
      <c r="L30" s="34"/>
      <c r="M30" s="34"/>
      <c r="N30" s="34"/>
      <c r="O30" s="34"/>
      <c r="P30" s="41"/>
      <c r="Q30" s="55"/>
      <c r="R30" s="64"/>
      <c r="S30" s="311"/>
      <c r="T30" s="34"/>
      <c r="U30" s="34"/>
      <c r="V30" s="34"/>
      <c r="W30" s="34"/>
      <c r="X30" s="34"/>
      <c r="Y30" s="34"/>
      <c r="Z30" s="34"/>
      <c r="AA30" s="64"/>
      <c r="AB30" s="57"/>
      <c r="AC30" s="34"/>
      <c r="AD30" s="34"/>
      <c r="AE30" s="41"/>
      <c r="AF30" s="41" t="s">
        <v>239</v>
      </c>
      <c r="AG30" s="50">
        <f>(50*10000*12)/10000000</f>
        <v>0.6</v>
      </c>
      <c r="AH30" s="50">
        <f>AG30*110%</f>
        <v>0.66</v>
      </c>
      <c r="AI30" s="50">
        <f>AH30*110%</f>
        <v>0.7260000000000001</v>
      </c>
      <c r="AJ30" s="34"/>
      <c r="AK30" s="34"/>
      <c r="AL30" s="41"/>
      <c r="AM30" s="41"/>
      <c r="AN30" s="50"/>
      <c r="AO30" s="50"/>
      <c r="AP30" s="50"/>
      <c r="AQ30" s="50"/>
      <c r="AR30" s="50"/>
      <c r="AS30" s="50"/>
      <c r="AT30" s="50"/>
      <c r="AU30" s="50"/>
      <c r="AV30" s="34"/>
      <c r="AW30" s="41"/>
      <c r="AX30" s="41"/>
      <c r="AY30" s="50"/>
      <c r="AZ30" s="50"/>
      <c r="BA30" s="50"/>
      <c r="BB30" s="50"/>
      <c r="BC30" s="50"/>
      <c r="BD30" s="50"/>
      <c r="BE30" s="50"/>
      <c r="BF30" s="50"/>
      <c r="BG30" s="64"/>
      <c r="BH30" s="34"/>
      <c r="BI30" s="41"/>
      <c r="BJ30" s="41"/>
      <c r="BK30" s="41"/>
      <c r="BL30" s="41"/>
      <c r="BM30" s="41"/>
      <c r="BN30" s="41"/>
      <c r="BO30" s="34"/>
      <c r="BP30" s="34"/>
      <c r="BQ30" s="41"/>
      <c r="BR30" s="41" t="s">
        <v>80</v>
      </c>
      <c r="BS30" s="396"/>
      <c r="BT30" s="50"/>
      <c r="BU30" s="50"/>
      <c r="BV30" s="50"/>
      <c r="BW30" s="50"/>
      <c r="BX30" s="50"/>
      <c r="BY30" s="50"/>
      <c r="BZ30" s="50"/>
      <c r="CA30" s="50"/>
      <c r="CB30" s="64"/>
      <c r="CC30" s="34"/>
      <c r="CD30" s="41"/>
      <c r="CE30" s="41"/>
      <c r="CF30" s="473"/>
      <c r="CG30" s="50"/>
      <c r="CH30" s="50"/>
      <c r="CI30" s="50"/>
      <c r="CJ30" s="50"/>
      <c r="CK30" s="50"/>
      <c r="CL30" s="50"/>
      <c r="CM30" s="50"/>
      <c r="CN30" s="50"/>
      <c r="CO30" s="6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41"/>
      <c r="DT30" s="41" t="s">
        <v>166</v>
      </c>
      <c r="DU30" s="50">
        <f>+DX29</f>
        <v>8.291666666666679</v>
      </c>
      <c r="DV30" s="50">
        <f>+DU30*$DV$6/4</f>
        <v>0.18656250000000027</v>
      </c>
      <c r="DW30" s="50">
        <f>+DW29</f>
        <v>0.8291666666666666</v>
      </c>
      <c r="DX30" s="50">
        <f>+DU30-DW30</f>
        <v>7.462500000000012</v>
      </c>
      <c r="DY30" s="64"/>
      <c r="DZ30" s="41"/>
      <c r="EA30" s="41" t="s">
        <v>121</v>
      </c>
      <c r="EB30" s="50"/>
      <c r="EC30" s="50"/>
      <c r="ED30" s="50"/>
      <c r="EE30" s="50"/>
      <c r="EF30" s="64"/>
      <c r="EG30" s="64"/>
      <c r="EH30" s="64"/>
      <c r="EI30" s="34"/>
      <c r="EJ30" s="46"/>
      <c r="EK30" s="63">
        <f>SUM(EK25:EK29)</f>
        <v>0</v>
      </c>
      <c r="EL30" s="62"/>
      <c r="EM30" s="47"/>
      <c r="EN30" s="47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6" t="s">
        <v>515</v>
      </c>
      <c r="FC30" s="38" t="s">
        <v>519</v>
      </c>
      <c r="FD30" s="38" t="s">
        <v>521</v>
      </c>
      <c r="FE30" s="235" t="s">
        <v>522</v>
      </c>
      <c r="FF30" s="312">
        <v>0.15</v>
      </c>
      <c r="FG30" s="38"/>
      <c r="FH30" s="38" t="s">
        <v>523</v>
      </c>
      <c r="FI30" s="43"/>
      <c r="FJ30" s="43"/>
      <c r="FK30" s="43"/>
      <c r="FL30" s="34"/>
      <c r="FM30" s="34"/>
      <c r="FN30" s="34"/>
      <c r="FO30" s="62"/>
      <c r="FP30" s="62"/>
      <c r="FQ30" s="62"/>
      <c r="FR30" s="62"/>
      <c r="FS30" s="62" t="s">
        <v>383</v>
      </c>
      <c r="FT30" s="34"/>
      <c r="FU30" s="34"/>
      <c r="FV30" s="34"/>
      <c r="FW30" s="34"/>
      <c r="FX30" s="34"/>
      <c r="FY30" s="34"/>
      <c r="FZ30" s="57" t="s">
        <v>0</v>
      </c>
      <c r="GA30" s="57" t="s">
        <v>0</v>
      </c>
      <c r="GB30" s="57"/>
      <c r="GC30" s="57"/>
      <c r="GD30" s="57"/>
      <c r="GE30" s="57"/>
      <c r="GF30" s="64" t="s">
        <v>0</v>
      </c>
      <c r="GG30" s="64"/>
      <c r="GH30" s="64"/>
      <c r="GI30" s="6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41"/>
      <c r="GZ30" s="41"/>
      <c r="HA30" s="44"/>
      <c r="HB30" s="41"/>
      <c r="HC30" s="41"/>
      <c r="HD30" s="50"/>
      <c r="HE30" s="51"/>
      <c r="HF30" s="51"/>
      <c r="HG30" s="51"/>
      <c r="HH30" s="51"/>
      <c r="HI30" s="34"/>
      <c r="HJ30" s="43">
        <v>3</v>
      </c>
      <c r="HK30" s="41" t="s">
        <v>348</v>
      </c>
      <c r="HL30" s="41"/>
      <c r="HM30" s="42"/>
      <c r="HN30" s="34"/>
      <c r="HO30" s="34"/>
      <c r="HP30" s="105"/>
      <c r="HQ30" s="68"/>
      <c r="HR30" s="68"/>
      <c r="HS30" s="68"/>
      <c r="HT30" s="68"/>
      <c r="HU30" s="34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</row>
    <row r="31" spans="1:244" s="233" customFormat="1" ht="16.5">
      <c r="A31" s="34"/>
      <c r="B31" s="41">
        <v>1</v>
      </c>
      <c r="C31" s="42" t="s">
        <v>630</v>
      </c>
      <c r="D31" s="57"/>
      <c r="E31" s="43"/>
      <c r="F31" s="50">
        <f>F21-F35-F33</f>
        <v>19.201359375000003</v>
      </c>
      <c r="G31" s="57"/>
      <c r="H31" s="34"/>
      <c r="I31" s="34"/>
      <c r="J31" s="34"/>
      <c r="K31" s="34"/>
      <c r="L31" s="34"/>
      <c r="M31" s="34"/>
      <c r="N31" s="34"/>
      <c r="O31" s="34"/>
      <c r="P31" s="41"/>
      <c r="Q31" s="55"/>
      <c r="R31" s="64"/>
      <c r="S31" s="311"/>
      <c r="T31" s="64"/>
      <c r="U31" s="57"/>
      <c r="V31" s="57"/>
      <c r="W31" s="57"/>
      <c r="X31" s="57"/>
      <c r="Y31" s="34"/>
      <c r="Z31" s="34"/>
      <c r="AA31" s="34"/>
      <c r="AB31" s="34"/>
      <c r="AC31" s="34"/>
      <c r="AD31" s="34"/>
      <c r="AE31" s="41"/>
      <c r="AF31" s="41" t="s">
        <v>414</v>
      </c>
      <c r="AG31" s="50">
        <f>(5*30000*12)/10000000</f>
        <v>0.18</v>
      </c>
      <c r="AH31" s="50">
        <f>AG31*110%</f>
        <v>0.198</v>
      </c>
      <c r="AI31" s="50">
        <f>AH31*110%</f>
        <v>0.21780000000000002</v>
      </c>
      <c r="AJ31" s="34"/>
      <c r="AK31" s="34"/>
      <c r="AL31" s="41" t="s">
        <v>541</v>
      </c>
      <c r="AM31" s="41" t="s">
        <v>416</v>
      </c>
      <c r="AN31" s="50"/>
      <c r="AO31" s="50"/>
      <c r="AP31" s="50"/>
      <c r="AQ31" s="50"/>
      <c r="AR31" s="50"/>
      <c r="AS31" s="50"/>
      <c r="AT31" s="50"/>
      <c r="AU31" s="50"/>
      <c r="AV31" s="34"/>
      <c r="AW31" s="45"/>
      <c r="AX31" s="45" t="s">
        <v>417</v>
      </c>
      <c r="AY31" s="63">
        <f>+CZ21</f>
        <v>4.207715456972353</v>
      </c>
      <c r="AZ31" s="63">
        <f>+DA21</f>
        <v>1.7297264305969675</v>
      </c>
      <c r="BA31" s="63">
        <f>+DB21</f>
        <v>2.0641665268176697</v>
      </c>
      <c r="BB31" s="63">
        <f>+DC21</f>
        <v>2.2743824262784247</v>
      </c>
      <c r="BC31" s="63">
        <f>+DD21</f>
        <v>2.5223788053614884</v>
      </c>
      <c r="BD31" s="63">
        <f>DE21</f>
        <v>2.802201081591162</v>
      </c>
      <c r="BE31" s="63">
        <f>DF21</f>
        <v>3.1506864877922167</v>
      </c>
      <c r="BF31" s="63" t="e">
        <f>DG21</f>
        <v>#DIV/0!</v>
      </c>
      <c r="BG31" s="64"/>
      <c r="BH31" s="34"/>
      <c r="BI31" s="41">
        <f>+BI28+1</f>
        <v>7</v>
      </c>
      <c r="BJ31" s="100" t="s">
        <v>599</v>
      </c>
      <c r="BK31" s="104" t="s">
        <v>510</v>
      </c>
      <c r="BL31" s="41"/>
      <c r="BM31" s="41"/>
      <c r="BN31" s="41"/>
      <c r="BO31" s="34"/>
      <c r="BP31" s="34"/>
      <c r="BQ31" s="41">
        <f>+BQ29+1</f>
        <v>4</v>
      </c>
      <c r="BR31" s="41" t="s">
        <v>403</v>
      </c>
      <c r="BS31" s="396"/>
      <c r="BT31" s="50">
        <f>DW12+ED12</f>
        <v>0</v>
      </c>
      <c r="BU31" s="50">
        <f>DW17+ED17</f>
        <v>3.3166666666666664</v>
      </c>
      <c r="BV31" s="50">
        <f>DW22+ED22</f>
        <v>3.3166666666666664</v>
      </c>
      <c r="BW31" s="50">
        <f>DW27+ED28</f>
        <v>3.3166666666666664</v>
      </c>
      <c r="BX31" s="50">
        <f>DW32+ED33</f>
        <v>3.3166666666666664</v>
      </c>
      <c r="BY31" s="50">
        <f>DW37</f>
        <v>3.3166666666666664</v>
      </c>
      <c r="BZ31" s="50">
        <f>DW42</f>
        <v>3.3166666666666664</v>
      </c>
      <c r="CA31" s="50">
        <v>0</v>
      </c>
      <c r="CB31" s="64"/>
      <c r="CC31" s="34"/>
      <c r="CD31" s="41">
        <v>2</v>
      </c>
      <c r="CE31" s="232" t="s">
        <v>399</v>
      </c>
      <c r="CF31" s="477"/>
      <c r="CG31" s="50"/>
      <c r="CH31" s="50"/>
      <c r="CI31" s="50"/>
      <c r="CJ31" s="50"/>
      <c r="CK31" s="50"/>
      <c r="CL31" s="50"/>
      <c r="CM31" s="50"/>
      <c r="CN31" s="50"/>
      <c r="CO31" s="6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41"/>
      <c r="DT31" s="41" t="s">
        <v>274</v>
      </c>
      <c r="DU31" s="50">
        <f>+DX30</f>
        <v>7.462500000000012</v>
      </c>
      <c r="DV31" s="50">
        <f>+DU31*$DV$6/4</f>
        <v>0.16790625000000026</v>
      </c>
      <c r="DW31" s="50">
        <f>+DW30</f>
        <v>0.8291666666666666</v>
      </c>
      <c r="DX31" s="50">
        <f>+DU31-DW31</f>
        <v>6.633333333333345</v>
      </c>
      <c r="DY31" s="64"/>
      <c r="DZ31" s="41"/>
      <c r="EA31" s="41" t="s">
        <v>166</v>
      </c>
      <c r="EB31" s="50"/>
      <c r="EC31" s="50"/>
      <c r="ED31" s="50"/>
      <c r="EE31" s="50"/>
      <c r="EF31" s="64"/>
      <c r="EG31" s="64"/>
      <c r="EH31" s="64"/>
      <c r="EI31" s="34"/>
      <c r="EJ31" s="57"/>
      <c r="EK31" s="57"/>
      <c r="EL31" s="57"/>
      <c r="EM31" s="57"/>
      <c r="EN31" s="57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41" t="s">
        <v>516</v>
      </c>
      <c r="FC31" s="300" t="s">
        <v>520</v>
      </c>
      <c r="FD31" s="43"/>
      <c r="FE31" s="43"/>
      <c r="FF31" s="297"/>
      <c r="FG31" s="43"/>
      <c r="FH31" s="43"/>
      <c r="FI31" s="43"/>
      <c r="FJ31" s="43"/>
      <c r="FK31" s="43"/>
      <c r="FL31" s="34"/>
      <c r="FM31" s="34"/>
      <c r="FN31" s="34"/>
      <c r="FO31" s="41" t="s">
        <v>31</v>
      </c>
      <c r="FP31" s="41"/>
      <c r="FQ31" s="41" t="s">
        <v>387</v>
      </c>
      <c r="FR31" s="41" t="s">
        <v>610</v>
      </c>
      <c r="FS31" s="306" t="s">
        <v>24</v>
      </c>
      <c r="FT31" s="34"/>
      <c r="FU31" s="34"/>
      <c r="FV31" s="34"/>
      <c r="FW31" s="34"/>
      <c r="FX31" s="34"/>
      <c r="FY31" s="34"/>
      <c r="FZ31" s="57"/>
      <c r="GA31" s="57"/>
      <c r="GB31" s="57"/>
      <c r="GC31" s="57"/>
      <c r="GD31" s="57"/>
      <c r="GE31" s="57"/>
      <c r="GF31" s="64" t="s">
        <v>0</v>
      </c>
      <c r="GG31" s="64"/>
      <c r="GH31" s="64"/>
      <c r="GI31" s="6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41"/>
      <c r="GZ31" s="41"/>
      <c r="HA31" s="44"/>
      <c r="HB31" s="41"/>
      <c r="HC31" s="41"/>
      <c r="HD31" s="50"/>
      <c r="HE31" s="51"/>
      <c r="HF31" s="51"/>
      <c r="HG31" s="51"/>
      <c r="HH31" s="51"/>
      <c r="HI31" s="34"/>
      <c r="HJ31" s="43"/>
      <c r="HK31" s="41"/>
      <c r="HL31" s="41"/>
      <c r="HM31" s="42"/>
      <c r="HN31" s="34"/>
      <c r="HO31" s="34"/>
      <c r="HP31" s="105">
        <v>12</v>
      </c>
      <c r="HQ31" s="138" t="str">
        <f>+AX28</f>
        <v>Assets Coverage Ratio</v>
      </c>
      <c r="HR31" s="139">
        <f>+AY28</f>
        <v>1.3432160804020101</v>
      </c>
      <c r="HS31" s="139">
        <f>+AZ28</f>
        <v>1.5219195979899496</v>
      </c>
      <c r="HT31" s="139">
        <f>+BA28</f>
        <v>1.7955961055276375</v>
      </c>
      <c r="HU31" s="34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</row>
    <row r="32" spans="1:244" s="233" customFormat="1" ht="16.5">
      <c r="A32" s="34"/>
      <c r="B32" s="41"/>
      <c r="C32" s="42"/>
      <c r="D32" s="57"/>
      <c r="E32" s="43"/>
      <c r="F32" s="50"/>
      <c r="G32" s="57"/>
      <c r="H32" s="34"/>
      <c r="I32" s="34"/>
      <c r="J32" s="34"/>
      <c r="K32" s="34"/>
      <c r="L32" s="34"/>
      <c r="M32" s="34"/>
      <c r="N32" s="34"/>
      <c r="O32" s="34"/>
      <c r="P32" s="41">
        <f>+P29+1</f>
        <v>9</v>
      </c>
      <c r="Q32" s="511">
        <v>38</v>
      </c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34"/>
      <c r="AD32" s="34"/>
      <c r="AE32" s="41"/>
      <c r="AF32" s="41"/>
      <c r="AG32" s="50"/>
      <c r="AH32" s="50"/>
      <c r="AI32" s="50"/>
      <c r="AJ32" s="34"/>
      <c r="AK32" s="34"/>
      <c r="AL32" s="41"/>
      <c r="AM32" s="41"/>
      <c r="AN32" s="50"/>
      <c r="AO32" s="50"/>
      <c r="AP32" s="50"/>
      <c r="AQ32" s="50"/>
      <c r="AR32" s="50"/>
      <c r="AS32" s="50"/>
      <c r="AT32" s="50"/>
      <c r="AU32" s="50"/>
      <c r="AV32" s="34"/>
      <c r="AW32" s="34"/>
      <c r="AX32" s="34"/>
      <c r="AY32" s="260">
        <f>AVERAGE(AY31:BE31)</f>
        <v>2.6787510307728972</v>
      </c>
      <c r="AZ32" s="34"/>
      <c r="BA32" s="34"/>
      <c r="BB32" s="34"/>
      <c r="BC32" s="34"/>
      <c r="BD32" s="34"/>
      <c r="BE32" s="34"/>
      <c r="BF32" s="34"/>
      <c r="BG32" s="64"/>
      <c r="BH32" s="34"/>
      <c r="BI32" s="105"/>
      <c r="BJ32" s="41" t="str">
        <f>+BJ25</f>
        <v>Product A</v>
      </c>
      <c r="BK32" s="41" t="str">
        <f>+BK25</f>
        <v>Ltrs</v>
      </c>
      <c r="BL32" s="51">
        <v>500</v>
      </c>
      <c r="BM32" s="51">
        <v>500</v>
      </c>
      <c r="BN32" s="51">
        <f>+BM32</f>
        <v>500</v>
      </c>
      <c r="BO32" s="34"/>
      <c r="BP32" s="34"/>
      <c r="BQ32" s="41">
        <f>+BQ31+1</f>
        <v>5</v>
      </c>
      <c r="BR32" s="56" t="s">
        <v>408</v>
      </c>
      <c r="BS32" s="401"/>
      <c r="BT32" s="50"/>
      <c r="BU32" s="50"/>
      <c r="BV32" s="50"/>
      <c r="BW32" s="50"/>
      <c r="BX32" s="50"/>
      <c r="BY32" s="50"/>
      <c r="BZ32" s="50"/>
      <c r="CA32" s="50"/>
      <c r="CB32" s="64"/>
      <c r="CC32" s="34"/>
      <c r="CD32" s="41"/>
      <c r="CE32" s="41"/>
      <c r="CF32" s="473"/>
      <c r="CG32" s="50"/>
      <c r="CH32" s="50"/>
      <c r="CI32" s="50"/>
      <c r="CJ32" s="50"/>
      <c r="CK32" s="50"/>
      <c r="CL32" s="50"/>
      <c r="CM32" s="50"/>
      <c r="CN32" s="50"/>
      <c r="CO32" s="6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106"/>
      <c r="DT32" s="106"/>
      <c r="DU32" s="108"/>
      <c r="DV32" s="108">
        <f>SUM(DV28:DV31)</f>
        <v>0.7835625000000009</v>
      </c>
      <c r="DW32" s="108">
        <f>SUM(DW28:DW31)</f>
        <v>3.3166666666666664</v>
      </c>
      <c r="DX32" s="108"/>
      <c r="DY32" s="64"/>
      <c r="DZ32" s="41"/>
      <c r="EA32" s="41" t="s">
        <v>274</v>
      </c>
      <c r="EB32" s="50"/>
      <c r="EC32" s="50"/>
      <c r="ED32" s="50"/>
      <c r="EE32" s="50"/>
      <c r="EF32" s="64"/>
      <c r="EG32" s="64"/>
      <c r="EH32" s="6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41" t="s">
        <v>517</v>
      </c>
      <c r="FC32" s="43"/>
      <c r="FD32" s="43"/>
      <c r="FE32" s="43"/>
      <c r="FF32" s="297"/>
      <c r="FG32" s="43"/>
      <c r="FH32" s="43"/>
      <c r="FI32" s="43"/>
      <c r="FJ32" s="43"/>
      <c r="FK32" s="43"/>
      <c r="FL32" s="34"/>
      <c r="FM32" s="34"/>
      <c r="FN32" s="34"/>
      <c r="FO32" s="45" t="s">
        <v>46</v>
      </c>
      <c r="FP32" s="45"/>
      <c r="FQ32" s="45"/>
      <c r="FR32" s="45"/>
      <c r="FS32" s="45"/>
      <c r="FT32" s="34"/>
      <c r="FU32" s="34"/>
      <c r="FV32" s="34"/>
      <c r="FW32" s="34"/>
      <c r="FX32" s="34"/>
      <c r="FY32" s="34"/>
      <c r="FZ32" s="57"/>
      <c r="GA32" s="57"/>
      <c r="GB32" s="57"/>
      <c r="GC32" s="57"/>
      <c r="GD32" s="57"/>
      <c r="GE32" s="57"/>
      <c r="GF32" s="64" t="s">
        <v>0</v>
      </c>
      <c r="GG32" s="64"/>
      <c r="GH32" s="64"/>
      <c r="GI32" s="6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41"/>
      <c r="GZ32" s="41"/>
      <c r="HA32" s="44"/>
      <c r="HB32" s="41"/>
      <c r="HC32" s="41"/>
      <c r="HD32" s="50"/>
      <c r="HE32" s="51"/>
      <c r="HF32" s="51"/>
      <c r="HG32" s="51"/>
      <c r="HH32" s="51"/>
      <c r="HI32" s="34"/>
      <c r="HJ32" s="43"/>
      <c r="HK32" s="41" t="s">
        <v>366</v>
      </c>
      <c r="HL32" s="50">
        <f>+AP17</f>
        <v>1.7424000000000002</v>
      </c>
      <c r="HM32" s="42"/>
      <c r="HN32" s="34"/>
      <c r="HO32" s="34"/>
      <c r="HP32" s="105"/>
      <c r="HQ32" s="68"/>
      <c r="HR32" s="68"/>
      <c r="HS32" s="68"/>
      <c r="HT32" s="68"/>
      <c r="HU32" s="34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</row>
    <row r="33" spans="1:244" s="233" customFormat="1" ht="16.5">
      <c r="A33" s="34"/>
      <c r="B33" s="41">
        <v>2</v>
      </c>
      <c r="C33" s="42" t="s">
        <v>611</v>
      </c>
      <c r="D33" s="57"/>
      <c r="E33" s="43"/>
      <c r="F33" s="50">
        <v>5</v>
      </c>
      <c r="G33" s="57"/>
      <c r="H33" s="34"/>
      <c r="I33" s="34"/>
      <c r="J33" s="34"/>
      <c r="K33" s="34"/>
      <c r="L33" s="34"/>
      <c r="M33" s="34"/>
      <c r="N33" s="34"/>
      <c r="O33" s="34"/>
      <c r="P33" s="41"/>
      <c r="Q33" s="55"/>
      <c r="R33" s="64"/>
      <c r="S33" s="311"/>
      <c r="T33" s="64"/>
      <c r="U33" s="57"/>
      <c r="V33" s="57"/>
      <c r="W33" s="313"/>
      <c r="X33" s="57"/>
      <c r="Y33" s="34"/>
      <c r="Z33" s="34"/>
      <c r="AA33" s="34"/>
      <c r="AB33" s="34"/>
      <c r="AC33" s="34"/>
      <c r="AD33" s="34"/>
      <c r="AE33" s="41"/>
      <c r="AF33" s="107" t="s">
        <v>429</v>
      </c>
      <c r="AG33" s="108">
        <f>SUM(AG27:AG32)</f>
        <v>0.78</v>
      </c>
      <c r="AH33" s="108">
        <f>SUM(AH27:AH32)</f>
        <v>0.8580000000000001</v>
      </c>
      <c r="AI33" s="108">
        <f>SUM(AI27:AI32)</f>
        <v>0.9438000000000001</v>
      </c>
      <c r="AJ33" s="34"/>
      <c r="AK33" s="34"/>
      <c r="AL33" s="41"/>
      <c r="AM33" s="41" t="s">
        <v>181</v>
      </c>
      <c r="AN33" s="50"/>
      <c r="AO33" s="50"/>
      <c r="AP33" s="50"/>
      <c r="AQ33" s="50"/>
      <c r="AR33" s="50"/>
      <c r="AS33" s="50"/>
      <c r="AT33" s="50"/>
      <c r="AU33" s="50"/>
      <c r="AV33" s="34"/>
      <c r="AW33" s="34"/>
      <c r="AX33" s="34"/>
      <c r="AY33" s="260"/>
      <c r="AZ33" s="34"/>
      <c r="BA33" s="34"/>
      <c r="BB33" s="34"/>
      <c r="BC33" s="34"/>
      <c r="BD33" s="34"/>
      <c r="BE33" s="34"/>
      <c r="BF33" s="34"/>
      <c r="BG33" s="34"/>
      <c r="BH33" s="34"/>
      <c r="BI33" s="41"/>
      <c r="BJ33" s="43" t="str">
        <f>+BJ21</f>
        <v>Product B</v>
      </c>
      <c r="BK33" s="41" t="str">
        <f>+BK32</f>
        <v>Ltrs</v>
      </c>
      <c r="BL33" s="51">
        <v>600</v>
      </c>
      <c r="BM33" s="51">
        <f>+BL33</f>
        <v>600</v>
      </c>
      <c r="BN33" s="51">
        <f>+BM33</f>
        <v>600</v>
      </c>
      <c r="BO33" s="34"/>
      <c r="BP33" s="34"/>
      <c r="BQ33" s="41"/>
      <c r="BR33" s="41" t="s">
        <v>419</v>
      </c>
      <c r="BS33" s="396"/>
      <c r="BT33" s="50">
        <f aca="true" t="shared" si="60" ref="BT33:BX34">+AN34</f>
        <v>1.7909999999999997</v>
      </c>
      <c r="BU33" s="50">
        <f t="shared" si="60"/>
        <v>1.6790625</v>
      </c>
      <c r="BV33" s="50">
        <f t="shared" si="60"/>
        <v>1.3805625000000001</v>
      </c>
      <c r="BW33" s="50">
        <f t="shared" si="60"/>
        <v>1.0820625000000006</v>
      </c>
      <c r="BX33" s="50">
        <f t="shared" si="60"/>
        <v>0.7835625000000009</v>
      </c>
      <c r="BY33" s="50">
        <f aca="true" t="shared" si="61" ref="BY33:CA34">+AS34</f>
        <v>0.485062500000001</v>
      </c>
      <c r="BZ33" s="50">
        <f t="shared" si="61"/>
        <v>0.18656250000000113</v>
      </c>
      <c r="CA33" s="50">
        <f t="shared" si="61"/>
        <v>0</v>
      </c>
      <c r="CB33" s="64"/>
      <c r="CC33" s="34"/>
      <c r="CD33" s="41"/>
      <c r="CE33" s="41" t="s">
        <v>409</v>
      </c>
      <c r="CF33" s="476">
        <v>0</v>
      </c>
      <c r="CG33" s="50">
        <f>SUM(T12:T12)+T14+T17</f>
        <v>14.8404375</v>
      </c>
      <c r="CH33" s="50">
        <f>SUM(W12:W12)+W14+W17</f>
        <v>17.3034375</v>
      </c>
      <c r="CI33" s="50">
        <f>SUM(Z12:Z12)+Z14+Z17</f>
        <v>19.767675</v>
      </c>
      <c r="CJ33" s="50">
        <f aca="true" t="shared" si="62" ref="CJ33:CN34">+CI33</f>
        <v>19.767675</v>
      </c>
      <c r="CK33" s="50">
        <f t="shared" si="62"/>
        <v>19.767675</v>
      </c>
      <c r="CL33" s="50">
        <f t="shared" si="62"/>
        <v>19.767675</v>
      </c>
      <c r="CM33" s="50">
        <f t="shared" si="62"/>
        <v>19.767675</v>
      </c>
      <c r="CN33" s="50">
        <f t="shared" si="62"/>
        <v>19.767675</v>
      </c>
      <c r="CO33" s="6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41" t="str">
        <f>BD2</f>
        <v>2027-28</v>
      </c>
      <c r="DT33" s="41" t="s">
        <v>81</v>
      </c>
      <c r="DU33" s="50">
        <f>+DX31</f>
        <v>6.633333333333345</v>
      </c>
      <c r="DV33" s="50">
        <f>+DU33*$DV$6/4</f>
        <v>0.14925000000000027</v>
      </c>
      <c r="DW33" s="126">
        <f>+DW31</f>
        <v>0.8291666666666666</v>
      </c>
      <c r="DX33" s="50">
        <f>+DU33-DW33</f>
        <v>5.804166666666679</v>
      </c>
      <c r="DY33" s="64"/>
      <c r="DZ33" s="45"/>
      <c r="EA33" s="45"/>
      <c r="EB33" s="63"/>
      <c r="EC33" s="108"/>
      <c r="ED33" s="108"/>
      <c r="EE33" s="63"/>
      <c r="EF33" s="64"/>
      <c r="EG33" s="64"/>
      <c r="EH33" s="6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41" t="s">
        <v>518</v>
      </c>
      <c r="FC33" s="43"/>
      <c r="FD33" s="43"/>
      <c r="FE33" s="43"/>
      <c r="FF33" s="297"/>
      <c r="FG33" s="43"/>
      <c r="FH33" s="43"/>
      <c r="FI33" s="43"/>
      <c r="FJ33" s="43"/>
      <c r="FK33" s="43"/>
      <c r="FL33" s="34"/>
      <c r="FM33" s="34"/>
      <c r="FN33" s="34"/>
      <c r="FO33" s="41"/>
      <c r="FP33" s="41"/>
      <c r="FQ33" s="41"/>
      <c r="FR33" s="41"/>
      <c r="FS33" s="41"/>
      <c r="FT33" s="34"/>
      <c r="FU33" s="34"/>
      <c r="FV33" s="34"/>
      <c r="FW33" s="34"/>
      <c r="FX33" s="34"/>
      <c r="FY33" s="34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41"/>
      <c r="GZ33" s="41"/>
      <c r="HA33" s="44"/>
      <c r="HB33" s="41"/>
      <c r="HC33" s="41"/>
      <c r="HD33" s="50"/>
      <c r="HE33" s="51"/>
      <c r="HF33" s="51"/>
      <c r="HG33" s="51"/>
      <c r="HH33" s="51"/>
      <c r="HI33" s="34"/>
      <c r="HJ33" s="43"/>
      <c r="HK33" s="41" t="s">
        <v>201</v>
      </c>
      <c r="HL33" s="50">
        <f>+AP34</f>
        <v>1.3805625000000001</v>
      </c>
      <c r="HM33" s="42"/>
      <c r="HN33" s="34"/>
      <c r="HO33" s="34"/>
      <c r="HP33" s="105">
        <v>13</v>
      </c>
      <c r="HQ33" s="68" t="s">
        <v>412</v>
      </c>
      <c r="HR33" s="140"/>
      <c r="HS33" s="141">
        <f>+HM40</f>
        <v>0.4143887416351428</v>
      </c>
      <c r="HT33" s="66"/>
      <c r="HU33" s="34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</row>
    <row r="34" spans="1:244" s="233" customFormat="1" ht="16.5">
      <c r="A34" s="34"/>
      <c r="B34" s="41"/>
      <c r="C34" s="52"/>
      <c r="D34" s="55"/>
      <c r="E34" s="53"/>
      <c r="F34" s="50"/>
      <c r="G34" s="57"/>
      <c r="H34" s="34"/>
      <c r="I34" s="34"/>
      <c r="J34" s="34"/>
      <c r="K34" s="34"/>
      <c r="L34" s="34"/>
      <c r="M34" s="34"/>
      <c r="N34" s="34"/>
      <c r="O34" s="34"/>
      <c r="P34" s="41"/>
      <c r="Q34" s="55"/>
      <c r="R34" s="64"/>
      <c r="S34" s="311"/>
      <c r="T34" s="64"/>
      <c r="U34" s="57"/>
      <c r="V34" s="57"/>
      <c r="W34" s="57"/>
      <c r="X34" s="57"/>
      <c r="Y34" s="34"/>
      <c r="Z34" s="34"/>
      <c r="AA34" s="34"/>
      <c r="AB34" s="34"/>
      <c r="AC34" s="34"/>
      <c r="AD34" s="34"/>
      <c r="AE34" s="41"/>
      <c r="AF34" s="41"/>
      <c r="AG34" s="50"/>
      <c r="AH34" s="50"/>
      <c r="AI34" s="50"/>
      <c r="AJ34" s="34"/>
      <c r="AK34" s="34"/>
      <c r="AL34" s="41"/>
      <c r="AM34" s="41" t="s">
        <v>433</v>
      </c>
      <c r="AN34" s="50">
        <f>DV12+EC12</f>
        <v>1.7909999999999997</v>
      </c>
      <c r="AO34" s="50">
        <f>+DV17</f>
        <v>1.6790625</v>
      </c>
      <c r="AP34" s="50">
        <f>+DV22</f>
        <v>1.3805625000000001</v>
      </c>
      <c r="AQ34" s="50">
        <f>+DV27</f>
        <v>1.0820625000000006</v>
      </c>
      <c r="AR34" s="50">
        <f>+DV32</f>
        <v>0.7835625000000009</v>
      </c>
      <c r="AS34" s="50">
        <f>DV37</f>
        <v>0.485062500000001</v>
      </c>
      <c r="AT34" s="50">
        <f>DV42</f>
        <v>0.18656250000000113</v>
      </c>
      <c r="AU34" s="50">
        <v>0</v>
      </c>
      <c r="AV34" s="34"/>
      <c r="AW34" s="34"/>
      <c r="AX34" s="34"/>
      <c r="AY34" s="34"/>
      <c r="AZ34" s="34"/>
      <c r="BA34" s="34"/>
      <c r="BB34" s="34"/>
      <c r="BC34" s="261"/>
      <c r="BD34" s="261"/>
      <c r="BE34" s="261"/>
      <c r="BF34" s="261"/>
      <c r="BG34" s="34"/>
      <c r="BH34" s="34"/>
      <c r="BI34" s="41"/>
      <c r="BJ34" s="43"/>
      <c r="BK34" s="43"/>
      <c r="BL34" s="43"/>
      <c r="BM34" s="43"/>
      <c r="BN34" s="43"/>
      <c r="BO34" s="34"/>
      <c r="BP34" s="34"/>
      <c r="BQ34" s="41"/>
      <c r="BR34" s="41" t="s">
        <v>620</v>
      </c>
      <c r="BS34" s="396"/>
      <c r="BT34" s="50">
        <f t="shared" si="60"/>
        <v>1.7758136249999996</v>
      </c>
      <c r="BU34" s="50">
        <f t="shared" si="60"/>
        <v>2.071220625</v>
      </c>
      <c r="BV34" s="50">
        <f t="shared" si="60"/>
        <v>2.3666944500000002</v>
      </c>
      <c r="BW34" s="50">
        <f t="shared" si="60"/>
        <v>2.3666944500000002</v>
      </c>
      <c r="BX34" s="50">
        <f t="shared" si="60"/>
        <v>2.3666944500000002</v>
      </c>
      <c r="BY34" s="50">
        <f t="shared" si="61"/>
        <v>2.3666944500000002</v>
      </c>
      <c r="BZ34" s="50">
        <f t="shared" si="61"/>
        <v>2.3666944500000002</v>
      </c>
      <c r="CA34" s="50">
        <f t="shared" si="61"/>
        <v>2.3666944500000002</v>
      </c>
      <c r="CB34" s="64"/>
      <c r="CC34" s="34"/>
      <c r="CD34" s="41"/>
      <c r="CE34" s="41" t="s">
        <v>420</v>
      </c>
      <c r="CF34" s="476">
        <v>0</v>
      </c>
      <c r="CG34" s="50">
        <f>+T21</f>
        <v>32.4</v>
      </c>
      <c r="CH34" s="50">
        <f>+W21</f>
        <v>37.8</v>
      </c>
      <c r="CI34" s="50">
        <f>+Z21</f>
        <v>43.20000000000001</v>
      </c>
      <c r="CJ34" s="50">
        <f t="shared" si="62"/>
        <v>43.20000000000001</v>
      </c>
      <c r="CK34" s="50">
        <f t="shared" si="62"/>
        <v>43.20000000000001</v>
      </c>
      <c r="CL34" s="50">
        <f t="shared" si="62"/>
        <v>43.20000000000001</v>
      </c>
      <c r="CM34" s="50">
        <f t="shared" si="62"/>
        <v>43.20000000000001</v>
      </c>
      <c r="CN34" s="50">
        <f t="shared" si="62"/>
        <v>43.20000000000001</v>
      </c>
      <c r="CO34" s="6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44"/>
      <c r="DT34" s="41" t="s">
        <v>121</v>
      </c>
      <c r="DU34" s="50">
        <f>+DX33</f>
        <v>5.804166666666679</v>
      </c>
      <c r="DV34" s="50">
        <f>+DU34*$DV$6/4</f>
        <v>0.13059375000000026</v>
      </c>
      <c r="DW34" s="50">
        <f>+DW33</f>
        <v>0.8291666666666666</v>
      </c>
      <c r="DX34" s="50">
        <f>+DU34-DW34</f>
        <v>4.975000000000012</v>
      </c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34"/>
      <c r="EJ34" s="34"/>
      <c r="EK34" s="34"/>
      <c r="EL34" s="34"/>
      <c r="EM34" s="34"/>
      <c r="EN34" s="34"/>
      <c r="EO34" s="34"/>
      <c r="EP34" s="493"/>
      <c r="EQ34" s="493"/>
      <c r="ER34" s="493"/>
      <c r="ES34" s="493"/>
      <c r="ET34" s="493"/>
      <c r="EU34" s="493"/>
      <c r="EV34" s="493"/>
      <c r="EW34" s="493"/>
      <c r="EX34" s="493"/>
      <c r="EY34" s="34"/>
      <c r="EZ34" s="34"/>
      <c r="FA34" s="34"/>
      <c r="FB34" s="314"/>
      <c r="FC34" s="315"/>
      <c r="FD34" s="315"/>
      <c r="FE34" s="315"/>
      <c r="FF34" s="297"/>
      <c r="FG34" s="315"/>
      <c r="FH34" s="43"/>
      <c r="FI34" s="43"/>
      <c r="FJ34" s="43"/>
      <c r="FK34" s="43"/>
      <c r="FL34" s="34"/>
      <c r="FM34" s="34"/>
      <c r="FN34" s="34"/>
      <c r="FO34" s="41">
        <v>1</v>
      </c>
      <c r="FP34" s="41" t="s">
        <v>404</v>
      </c>
      <c r="FQ34" s="41"/>
      <c r="FR34" s="41"/>
      <c r="FS34" s="41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41"/>
      <c r="GZ34" s="41"/>
      <c r="HA34" s="44"/>
      <c r="HB34" s="41"/>
      <c r="HC34" s="41"/>
      <c r="HD34" s="50"/>
      <c r="HE34" s="51"/>
      <c r="HF34" s="51"/>
      <c r="HG34" s="51"/>
      <c r="HH34" s="51"/>
      <c r="HI34" s="34"/>
      <c r="HJ34" s="43"/>
      <c r="HK34" s="56" t="s">
        <v>256</v>
      </c>
      <c r="HL34" s="50">
        <f>+AP37</f>
        <v>1.4169249999999998</v>
      </c>
      <c r="HM34" s="42"/>
      <c r="HN34" s="260" t="s">
        <v>0</v>
      </c>
      <c r="HO34" s="34"/>
      <c r="HP34" s="105"/>
      <c r="HQ34" s="68"/>
      <c r="HR34" s="59"/>
      <c r="HS34" s="59"/>
      <c r="HT34" s="68"/>
      <c r="HU34" s="34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</row>
    <row r="35" spans="1:244" s="233" customFormat="1" ht="16.5">
      <c r="A35" s="34"/>
      <c r="B35" s="79">
        <v>3</v>
      </c>
      <c r="C35" s="80" t="s">
        <v>272</v>
      </c>
      <c r="D35" s="84"/>
      <c r="E35" s="82"/>
      <c r="F35" s="50">
        <f>(F12+F18+F14)*75%+(F10+F8)*65%</f>
        <v>19.9</v>
      </c>
      <c r="G35" s="57"/>
      <c r="H35" s="34"/>
      <c r="I35" s="34"/>
      <c r="J35" s="34"/>
      <c r="K35" s="34"/>
      <c r="L35" s="34"/>
      <c r="M35" s="34"/>
      <c r="N35" s="34"/>
      <c r="O35" s="34"/>
      <c r="P35" s="41"/>
      <c r="Q35" s="286"/>
      <c r="R35" s="286"/>
      <c r="S35" s="286"/>
      <c r="T35" s="286"/>
      <c r="U35" s="260"/>
      <c r="V35" s="286"/>
      <c r="W35" s="286"/>
      <c r="X35" s="286"/>
      <c r="Y35" s="34"/>
      <c r="Z35" s="34"/>
      <c r="AA35" s="34"/>
      <c r="AB35" s="34"/>
      <c r="AC35" s="34"/>
      <c r="AD35" s="34"/>
      <c r="AE35" s="41">
        <f>+AE28+1</f>
        <v>4</v>
      </c>
      <c r="AF35" s="41" t="s">
        <v>329</v>
      </c>
      <c r="AG35" s="50"/>
      <c r="AH35" s="50"/>
      <c r="AI35" s="50"/>
      <c r="AJ35" s="34"/>
      <c r="AK35" s="34"/>
      <c r="AL35" s="41"/>
      <c r="AM35" s="41" t="s">
        <v>437</v>
      </c>
      <c r="AN35" s="135">
        <f>CG18*$AK$36*80%</f>
        <v>1.7758136249999996</v>
      </c>
      <c r="AO35" s="135">
        <f>CH18*$AK$36*80%</f>
        <v>2.071220625</v>
      </c>
      <c r="AP35" s="135">
        <f>CI18*$AK$36*80%</f>
        <v>2.3666944500000002</v>
      </c>
      <c r="AQ35" s="135">
        <f>CJ18*$AK$36*80%</f>
        <v>2.3666944500000002</v>
      </c>
      <c r="AR35" s="135">
        <f>+AQ35</f>
        <v>2.3666944500000002</v>
      </c>
      <c r="AS35" s="135">
        <f>+AR35</f>
        <v>2.3666944500000002</v>
      </c>
      <c r="AT35" s="135">
        <f>+AS35</f>
        <v>2.3666944500000002</v>
      </c>
      <c r="AU35" s="135">
        <f>+AT35</f>
        <v>2.3666944500000002</v>
      </c>
      <c r="AV35" s="34"/>
      <c r="AW35" s="34"/>
      <c r="AX35" s="34"/>
      <c r="AY35" s="262"/>
      <c r="AZ35" s="34"/>
      <c r="BA35" s="34"/>
      <c r="BB35" s="34"/>
      <c r="BC35" s="34"/>
      <c r="BD35" s="34"/>
      <c r="BE35" s="34"/>
      <c r="BF35" s="34"/>
      <c r="BG35" s="261"/>
      <c r="BH35" s="34"/>
      <c r="BI35" s="41">
        <f>+BI31+1</f>
        <v>8</v>
      </c>
      <c r="BJ35" s="100" t="s">
        <v>529</v>
      </c>
      <c r="BK35" s="56"/>
      <c r="BL35" s="50"/>
      <c r="BM35" s="50"/>
      <c r="BN35" s="50"/>
      <c r="BO35" s="34"/>
      <c r="BP35" s="34"/>
      <c r="BQ35" s="41"/>
      <c r="BR35" s="41"/>
      <c r="BS35" s="396"/>
      <c r="BT35" s="50"/>
      <c r="BU35" s="50"/>
      <c r="BV35" s="50"/>
      <c r="BW35" s="50"/>
      <c r="BX35" s="50"/>
      <c r="BY35" s="50"/>
      <c r="BZ35" s="50"/>
      <c r="CA35" s="50"/>
      <c r="CB35" s="64"/>
      <c r="CC35" s="34"/>
      <c r="CD35" s="41"/>
      <c r="CE35" s="41" t="s">
        <v>425</v>
      </c>
      <c r="CF35" s="476">
        <f>BS41</f>
        <v>0</v>
      </c>
      <c r="CG35" s="50">
        <f aca="true" t="shared" si="63" ref="CG35:CN35">+BT41</f>
        <v>5.745018383437497</v>
      </c>
      <c r="CH35" s="50">
        <f t="shared" si="63"/>
        <v>6.94290899645833</v>
      </c>
      <c r="CI35" s="50">
        <f t="shared" si="63"/>
        <v>9.493608669416641</v>
      </c>
      <c r="CJ35" s="50">
        <f t="shared" si="63"/>
        <v>15.099271817374982</v>
      </c>
      <c r="CK35" s="50">
        <f t="shared" si="63"/>
        <v>21.341373797833313</v>
      </c>
      <c r="CL35" s="50">
        <f t="shared" si="63"/>
        <v>28.192854213916647</v>
      </c>
      <c r="CM35" s="50">
        <f t="shared" si="63"/>
        <v>35.72720184630624</v>
      </c>
      <c r="CN35" s="50">
        <f t="shared" si="63"/>
        <v>47.20516777977406</v>
      </c>
      <c r="CO35" s="64"/>
      <c r="CP35" s="260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41"/>
      <c r="DT35" s="41" t="s">
        <v>166</v>
      </c>
      <c r="DU35" s="50">
        <f>+DX34</f>
        <v>4.975000000000012</v>
      </c>
      <c r="DV35" s="50">
        <f>+DU35*$DV$6/4</f>
        <v>0.11193750000000027</v>
      </c>
      <c r="DW35" s="50">
        <f>+DW34</f>
        <v>0.8291666666666666</v>
      </c>
      <c r="DX35" s="50">
        <f>+DU35-DW35</f>
        <v>4.1458333333333455</v>
      </c>
      <c r="DY35" s="57"/>
      <c r="DZ35" s="57" t="s">
        <v>569</v>
      </c>
      <c r="EA35" s="57"/>
      <c r="EB35" s="57"/>
      <c r="EC35" s="57"/>
      <c r="ED35" s="57"/>
      <c r="EE35" s="57"/>
      <c r="EF35" s="57"/>
      <c r="EG35" s="57"/>
      <c r="EH35" s="57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41"/>
      <c r="FC35" s="315"/>
      <c r="FD35" s="43"/>
      <c r="FE35" s="43"/>
      <c r="FF35" s="297"/>
      <c r="FG35" s="43"/>
      <c r="FH35" s="43"/>
      <c r="FI35" s="43"/>
      <c r="FJ35" s="43"/>
      <c r="FK35" s="43"/>
      <c r="FL35" s="34"/>
      <c r="FM35" s="34"/>
      <c r="FN35" s="34"/>
      <c r="FO35" s="41"/>
      <c r="FP35" s="41" t="s">
        <v>410</v>
      </c>
      <c r="FQ35" s="41"/>
      <c r="FR35" s="41"/>
      <c r="FS35" s="41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41"/>
      <c r="GZ35" s="41"/>
      <c r="HA35" s="44"/>
      <c r="HB35" s="41"/>
      <c r="HC35" s="41"/>
      <c r="HD35" s="50"/>
      <c r="HE35" s="51"/>
      <c r="HF35" s="51"/>
      <c r="HG35" s="51"/>
      <c r="HH35" s="51"/>
      <c r="HI35" s="34"/>
      <c r="HJ35" s="43"/>
      <c r="HK35" s="41" t="s">
        <v>388</v>
      </c>
      <c r="HL35" s="50">
        <f>+AP41</f>
        <v>0.2</v>
      </c>
      <c r="HM35" s="42"/>
      <c r="HN35" s="34"/>
      <c r="HO35" s="34"/>
      <c r="HP35" s="105">
        <v>14</v>
      </c>
      <c r="HQ35" s="138" t="s">
        <v>427</v>
      </c>
      <c r="HR35" s="59"/>
      <c r="HS35" s="142">
        <f>+HM42</f>
        <v>0.27302768273482003</v>
      </c>
      <c r="HT35" s="68"/>
      <c r="HU35" s="34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</row>
    <row r="36" spans="1:244" s="233" customFormat="1" ht="18" customHeight="1">
      <c r="A36" s="34"/>
      <c r="B36" s="79"/>
      <c r="C36" s="80"/>
      <c r="D36" s="84"/>
      <c r="E36" s="82"/>
      <c r="F36" s="83"/>
      <c r="G36" s="57"/>
      <c r="H36" s="34"/>
      <c r="I36" s="34"/>
      <c r="J36" s="34"/>
      <c r="K36" s="34"/>
      <c r="L36" s="34"/>
      <c r="M36" s="34"/>
      <c r="N36" s="34"/>
      <c r="O36" s="34"/>
      <c r="P36" s="41"/>
      <c r="Q36" s="34"/>
      <c r="R36" s="34"/>
      <c r="S36" s="34"/>
      <c r="T36" s="64"/>
      <c r="U36" s="64"/>
      <c r="V36" s="57"/>
      <c r="W36" s="64"/>
      <c r="X36" s="64"/>
      <c r="Y36" s="57"/>
      <c r="Z36" s="64"/>
      <c r="AA36" s="34"/>
      <c r="AB36" s="34"/>
      <c r="AC36" s="34"/>
      <c r="AD36" s="34"/>
      <c r="AE36" s="41"/>
      <c r="AF36" s="41"/>
      <c r="AG36" s="50"/>
      <c r="AH36" s="50"/>
      <c r="AI36" s="50"/>
      <c r="AJ36" s="34"/>
      <c r="AK36" s="278">
        <v>0.09</v>
      </c>
      <c r="AL36" s="41"/>
      <c r="AM36" s="41"/>
      <c r="AN36" s="50"/>
      <c r="AO36" s="50"/>
      <c r="AP36" s="50"/>
      <c r="AQ36" s="50"/>
      <c r="AR36" s="50"/>
      <c r="AS36" s="50"/>
      <c r="AT36" s="50"/>
      <c r="AU36" s="50"/>
      <c r="AV36" s="34"/>
      <c r="AW36" s="34"/>
      <c r="AX36" s="34"/>
      <c r="AY36" s="261"/>
      <c r="AZ36" s="34"/>
      <c r="BA36" s="34"/>
      <c r="BB36" s="34"/>
      <c r="BC36" s="34"/>
      <c r="BD36" s="34"/>
      <c r="BE36" s="34"/>
      <c r="BF36" s="34"/>
      <c r="BG36" s="34"/>
      <c r="BH36" s="34"/>
      <c r="BI36" s="41"/>
      <c r="BJ36" s="41" t="str">
        <f>+BJ32</f>
        <v>Product A</v>
      </c>
      <c r="BK36" s="41"/>
      <c r="BL36" s="50">
        <f aca="true" t="shared" si="64" ref="BL36:BN37">((BL25*BL32))/10000000</f>
        <v>54</v>
      </c>
      <c r="BM36" s="50">
        <f t="shared" si="64"/>
        <v>63</v>
      </c>
      <c r="BN36" s="50">
        <f t="shared" si="64"/>
        <v>72</v>
      </c>
      <c r="BO36" s="34"/>
      <c r="BP36" s="34"/>
      <c r="BQ36" s="41">
        <f>+BQ32+1</f>
        <v>6</v>
      </c>
      <c r="BR36" s="41" t="s">
        <v>430</v>
      </c>
      <c r="BS36" s="396"/>
      <c r="BT36" s="50">
        <f aca="true" t="shared" si="65" ref="BT36:CA36">+AY5</f>
        <v>0.931167991562494</v>
      </c>
      <c r="BU36" s="50">
        <f t="shared" si="65"/>
        <v>1.4885345953124982</v>
      </c>
      <c r="BV36" s="50">
        <f t="shared" si="65"/>
        <v>2.072242335374996</v>
      </c>
      <c r="BW36" s="50">
        <f t="shared" si="65"/>
        <v>2.383333235375003</v>
      </c>
      <c r="BX36" s="50">
        <f t="shared" si="65"/>
        <v>2.687283402875001</v>
      </c>
      <c r="BY36" s="50">
        <f t="shared" si="65"/>
        <v>3.0408052172500004</v>
      </c>
      <c r="BZ36" s="50">
        <f t="shared" si="65"/>
        <v>3.3435167434437525</v>
      </c>
      <c r="CA36" s="50">
        <f t="shared" si="65"/>
        <v>3.6129646166571887</v>
      </c>
      <c r="CB36" s="64"/>
      <c r="CC36" s="34"/>
      <c r="CD36" s="41"/>
      <c r="CE36" s="41"/>
      <c r="CF36" s="475">
        <f aca="true" t="shared" si="66" ref="CF36:CN36">SUM(CF33:CF35)</f>
        <v>0</v>
      </c>
      <c r="CG36" s="108">
        <f t="shared" si="66"/>
        <v>52.985455883437496</v>
      </c>
      <c r="CH36" s="108">
        <f t="shared" si="66"/>
        <v>62.04634649645833</v>
      </c>
      <c r="CI36" s="108">
        <f t="shared" si="66"/>
        <v>72.46128366941666</v>
      </c>
      <c r="CJ36" s="108">
        <f t="shared" si="66"/>
        <v>78.066946817375</v>
      </c>
      <c r="CK36" s="108">
        <f t="shared" si="66"/>
        <v>84.30904879783333</v>
      </c>
      <c r="CL36" s="108">
        <f t="shared" si="66"/>
        <v>91.16052921391666</v>
      </c>
      <c r="CM36" s="108">
        <f t="shared" si="66"/>
        <v>98.69487684630624</v>
      </c>
      <c r="CN36" s="108">
        <f t="shared" si="66"/>
        <v>110.17284277977407</v>
      </c>
      <c r="CO36" s="6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41"/>
      <c r="DT36" s="41" t="s">
        <v>274</v>
      </c>
      <c r="DU36" s="50">
        <f>+DX35</f>
        <v>4.1458333333333455</v>
      </c>
      <c r="DV36" s="50">
        <f>+DU36*$DV$6/4</f>
        <v>0.09328125000000027</v>
      </c>
      <c r="DW36" s="50">
        <f>+DW35</f>
        <v>0.8291666666666666</v>
      </c>
      <c r="DX36" s="50">
        <f>+DU36-DW36</f>
        <v>3.316666666666679</v>
      </c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41"/>
      <c r="FC36" s="315"/>
      <c r="FD36" s="43"/>
      <c r="FE36" s="43"/>
      <c r="FF36" s="43"/>
      <c r="FG36" s="43"/>
      <c r="FH36" s="43"/>
      <c r="FI36" s="43"/>
      <c r="FJ36" s="43"/>
      <c r="FK36" s="43"/>
      <c r="FL36" s="34"/>
      <c r="FM36" s="34"/>
      <c r="FN36" s="34"/>
      <c r="FO36" s="41"/>
      <c r="FP36" s="41" t="s">
        <v>421</v>
      </c>
      <c r="FQ36" s="41"/>
      <c r="FR36" s="41"/>
      <c r="FS36" s="41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 t="s">
        <v>0</v>
      </c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41"/>
      <c r="GZ36" s="41"/>
      <c r="HA36" s="44"/>
      <c r="HB36" s="41"/>
      <c r="HC36" s="41"/>
      <c r="HD36" s="50"/>
      <c r="HE36" s="51"/>
      <c r="HF36" s="51"/>
      <c r="HG36" s="51"/>
      <c r="HH36" s="51"/>
      <c r="HI36" s="34"/>
      <c r="HJ36" s="43"/>
      <c r="HK36" s="41" t="s">
        <v>393</v>
      </c>
      <c r="HL36" s="34"/>
      <c r="HM36" s="58">
        <f>SUM(HL32:HL35)</f>
        <v>4.7398875</v>
      </c>
      <c r="HN36" s="34"/>
      <c r="HO36" s="34"/>
      <c r="HP36" s="105"/>
      <c r="HQ36" s="68"/>
      <c r="HR36" s="59"/>
      <c r="HS36" s="59"/>
      <c r="HT36" s="68"/>
      <c r="HU36" s="34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</row>
    <row r="37" spans="1:244" s="233" customFormat="1" ht="17.25" thickBot="1">
      <c r="A37" s="34"/>
      <c r="B37" s="85"/>
      <c r="C37" s="86"/>
      <c r="D37" s="87"/>
      <c r="E37" s="88"/>
      <c r="F37" s="420">
        <f>+SUM(F29:F36)</f>
        <v>44.101359375</v>
      </c>
      <c r="G37" s="57"/>
      <c r="H37" s="34"/>
      <c r="I37" s="34"/>
      <c r="J37" s="34"/>
      <c r="K37" s="34"/>
      <c r="L37" s="34"/>
      <c r="M37" s="34"/>
      <c r="N37" s="34"/>
      <c r="O37" s="34"/>
      <c r="P37" s="41"/>
      <c r="Q37" s="520" t="s">
        <v>465</v>
      </c>
      <c r="R37" s="494"/>
      <c r="S37" s="494"/>
      <c r="T37" s="494"/>
      <c r="U37" s="494"/>
      <c r="V37" s="494"/>
      <c r="W37" s="116"/>
      <c r="X37" s="116"/>
      <c r="Y37" s="34"/>
      <c r="Z37" s="34"/>
      <c r="AA37" s="34"/>
      <c r="AB37" s="34"/>
      <c r="AC37" s="34"/>
      <c r="AD37" s="34"/>
      <c r="AE37" s="41"/>
      <c r="AF37" s="41" t="s">
        <v>547</v>
      </c>
      <c r="AG37" s="50">
        <f>(($F$132-$F$109)*AD43)</f>
        <v>0.087</v>
      </c>
      <c r="AH37" s="50">
        <f>+AG37</f>
        <v>0.087</v>
      </c>
      <c r="AI37" s="50">
        <f>+AH37</f>
        <v>0.087</v>
      </c>
      <c r="AJ37" s="34"/>
      <c r="AK37" s="34"/>
      <c r="AL37" s="41" t="s">
        <v>542</v>
      </c>
      <c r="AM37" s="41" t="s">
        <v>256</v>
      </c>
      <c r="AN37" s="50">
        <f>CV17</f>
        <v>1.5699999999999998</v>
      </c>
      <c r="AO37" s="50">
        <f>AN37*95%</f>
        <v>1.4914999999999998</v>
      </c>
      <c r="AP37" s="50">
        <f aca="true" t="shared" si="67" ref="AP37:AU37">AO37*95%</f>
        <v>1.4169249999999998</v>
      </c>
      <c r="AQ37" s="50">
        <f t="shared" si="67"/>
        <v>1.3460787499999998</v>
      </c>
      <c r="AR37" s="50">
        <f t="shared" si="67"/>
        <v>1.2787748124999998</v>
      </c>
      <c r="AS37" s="50">
        <f t="shared" si="67"/>
        <v>1.2148360718749998</v>
      </c>
      <c r="AT37" s="50">
        <f t="shared" si="67"/>
        <v>1.1540942682812496</v>
      </c>
      <c r="AU37" s="50">
        <f t="shared" si="67"/>
        <v>1.0963895548671871</v>
      </c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41"/>
      <c r="BJ37" s="41" t="str">
        <f>+BJ21</f>
        <v>Product B</v>
      </c>
      <c r="BK37" s="41"/>
      <c r="BL37" s="50">
        <f t="shared" si="64"/>
        <v>75.6</v>
      </c>
      <c r="BM37" s="50">
        <f t="shared" si="64"/>
        <v>88.2</v>
      </c>
      <c r="BN37" s="50">
        <f t="shared" si="64"/>
        <v>100.8</v>
      </c>
      <c r="BO37" s="34"/>
      <c r="BP37" s="34"/>
      <c r="BQ37" s="41">
        <f>+BQ36+1</f>
        <v>7</v>
      </c>
      <c r="BR37" s="41" t="s">
        <v>434</v>
      </c>
      <c r="BS37" s="396"/>
      <c r="BT37" s="50">
        <f aca="true" t="shared" si="68" ref="BT37:CA37">+AY9</f>
        <v>0</v>
      </c>
      <c r="BU37" s="50">
        <f t="shared" si="68"/>
        <v>0</v>
      </c>
      <c r="BV37" s="50">
        <f t="shared" si="68"/>
        <v>0</v>
      </c>
      <c r="BW37" s="50">
        <f t="shared" si="68"/>
        <v>0</v>
      </c>
      <c r="BX37" s="50">
        <f t="shared" si="68"/>
        <v>0</v>
      </c>
      <c r="BY37" s="50">
        <f t="shared" si="68"/>
        <v>0</v>
      </c>
      <c r="BZ37" s="50">
        <f t="shared" si="68"/>
        <v>0</v>
      </c>
      <c r="CA37" s="50">
        <f t="shared" si="68"/>
        <v>0</v>
      </c>
      <c r="CB37" s="64"/>
      <c r="CC37" s="34"/>
      <c r="CD37" s="41"/>
      <c r="CE37" s="41"/>
      <c r="CF37" s="473"/>
      <c r="CG37" s="50"/>
      <c r="CH37" s="50"/>
      <c r="CI37" s="50"/>
      <c r="CJ37" s="50"/>
      <c r="CK37" s="50"/>
      <c r="CL37" s="50"/>
      <c r="CM37" s="50"/>
      <c r="CN37" s="50"/>
      <c r="CO37" s="6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106"/>
      <c r="DT37" s="106"/>
      <c r="DU37" s="108"/>
      <c r="DV37" s="108">
        <f>SUM(DV33:DV36)</f>
        <v>0.485062500000001</v>
      </c>
      <c r="DW37" s="108">
        <f>SUM(DW33:DW36)</f>
        <v>3.3166666666666664</v>
      </c>
      <c r="DX37" s="108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45"/>
      <c r="FC37" s="316"/>
      <c r="FD37" s="47"/>
      <c r="FE37" s="47"/>
      <c r="FF37" s="47"/>
      <c r="FG37" s="47"/>
      <c r="FH37" s="47"/>
      <c r="FI37" s="47"/>
      <c r="FJ37" s="47"/>
      <c r="FK37" s="47"/>
      <c r="FL37" s="34"/>
      <c r="FM37" s="34"/>
      <c r="FN37" s="34"/>
      <c r="FO37" s="41"/>
      <c r="FP37" s="41" t="s">
        <v>426</v>
      </c>
      <c r="FQ37" s="41"/>
      <c r="FR37" s="41"/>
      <c r="FS37" s="41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41"/>
      <c r="GZ37" s="41"/>
      <c r="HA37" s="44"/>
      <c r="HB37" s="41"/>
      <c r="HC37" s="41"/>
      <c r="HD37" s="50"/>
      <c r="HE37" s="51"/>
      <c r="HF37" s="51"/>
      <c r="HG37" s="51"/>
      <c r="HH37" s="51"/>
      <c r="HI37" s="34"/>
      <c r="HJ37" s="43"/>
      <c r="HK37" s="41"/>
      <c r="HL37" s="41"/>
      <c r="HM37" s="42"/>
      <c r="HN37" s="34"/>
      <c r="HO37" s="34"/>
      <c r="HP37" s="105">
        <v>15</v>
      </c>
      <c r="HQ37" s="68" t="s">
        <v>435</v>
      </c>
      <c r="HR37" s="59"/>
      <c r="HS37" s="143">
        <f>+CZ23</f>
        <v>2.6787510307728972</v>
      </c>
      <c r="HT37" s="68"/>
      <c r="HU37" s="34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</row>
    <row r="38" spans="1:244" s="233" customFormat="1" ht="17.25" thickTop="1">
      <c r="A38" s="34"/>
      <c r="B38" s="81"/>
      <c r="C38" s="81"/>
      <c r="D38" s="81"/>
      <c r="E38" s="81"/>
      <c r="F38" s="89"/>
      <c r="G38" s="57"/>
      <c r="H38" s="34"/>
      <c r="I38" s="34"/>
      <c r="J38" s="34"/>
      <c r="K38" s="34"/>
      <c r="L38" s="34"/>
      <c r="M38" s="34"/>
      <c r="N38" s="34"/>
      <c r="O38" s="34"/>
      <c r="P38" s="41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 t="s">
        <v>0</v>
      </c>
      <c r="AE38" s="41"/>
      <c r="AF38" s="56" t="s">
        <v>548</v>
      </c>
      <c r="AG38" s="50">
        <v>0.84</v>
      </c>
      <c r="AH38" s="50">
        <v>0.96</v>
      </c>
      <c r="AI38" s="50">
        <v>1.08</v>
      </c>
      <c r="AJ38" s="34"/>
      <c r="AK38" s="34"/>
      <c r="AL38" s="41"/>
      <c r="AM38" s="41"/>
      <c r="AN38" s="50"/>
      <c r="AO38" s="50"/>
      <c r="AP38" s="50"/>
      <c r="AQ38" s="50"/>
      <c r="AR38" s="50"/>
      <c r="AS38" s="50"/>
      <c r="AT38" s="50"/>
      <c r="AU38" s="50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41"/>
      <c r="BJ38" s="41"/>
      <c r="BK38" s="41"/>
      <c r="BL38" s="50"/>
      <c r="BM38" s="50"/>
      <c r="BN38" s="50"/>
      <c r="BO38" s="34"/>
      <c r="BP38" s="34"/>
      <c r="BQ38" s="41"/>
      <c r="BR38" s="41"/>
      <c r="BS38" s="398"/>
      <c r="BT38" s="108">
        <f>SUM(BT23:BT37)</f>
        <v>73.26341911656247</v>
      </c>
      <c r="BU38" s="108">
        <f aca="true" t="shared" si="69" ref="BU38:CA38">SUM(BU23:BU37)</f>
        <v>15.105984386979165</v>
      </c>
      <c r="BV38" s="108">
        <f t="shared" si="69"/>
        <v>15.68790345204168</v>
      </c>
      <c r="BW38" s="108">
        <f t="shared" si="69"/>
        <v>9.148756852041672</v>
      </c>
      <c r="BX38" s="108">
        <f t="shared" si="69"/>
        <v>9.15420701954167</v>
      </c>
      <c r="BY38" s="108">
        <f t="shared" si="69"/>
        <v>9.209228833916669</v>
      </c>
      <c r="BZ38" s="108">
        <f t="shared" si="69"/>
        <v>9.21344036011042</v>
      </c>
      <c r="CA38" s="108">
        <f t="shared" si="69"/>
        <v>5.979659066657189</v>
      </c>
      <c r="CB38" s="64"/>
      <c r="CC38" s="34"/>
      <c r="CD38" s="41">
        <f>+CD31+1</f>
        <v>3</v>
      </c>
      <c r="CE38" s="41" t="s">
        <v>382</v>
      </c>
      <c r="CF38" s="474">
        <f>BS28</f>
        <v>0</v>
      </c>
      <c r="CG38" s="76">
        <f>BT28-BT21</f>
        <v>0.9000000000000001</v>
      </c>
      <c r="CH38" s="76">
        <f>+CG38-BU21</f>
        <v>0.7000000000000002</v>
      </c>
      <c r="CI38" s="76">
        <f>+CH38-BV21</f>
        <v>0.5000000000000002</v>
      </c>
      <c r="CJ38" s="76">
        <f>+CI38-BW21</f>
        <v>0.3000000000000002</v>
      </c>
      <c r="CK38" s="76">
        <f>+CJ38-BX21</f>
        <v>0.1000000000000002</v>
      </c>
      <c r="CL38" s="76">
        <f>+CK38-CC19</f>
        <v>0.1000000000000002</v>
      </c>
      <c r="CM38" s="76">
        <f>+CL38-CD20</f>
        <v>0.1000000000000002</v>
      </c>
      <c r="CN38" s="76">
        <f>+CM38-CE20</f>
        <v>0.1000000000000002</v>
      </c>
      <c r="CO38" s="287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41" t="str">
        <f>DF7</f>
        <v>2028-29</v>
      </c>
      <c r="DT38" s="41" t="s">
        <v>81</v>
      </c>
      <c r="DU38" s="50">
        <f>+DX36</f>
        <v>3.316666666666679</v>
      </c>
      <c r="DV38" s="50">
        <f>+DU38*$DV$6/4</f>
        <v>0.07462500000000027</v>
      </c>
      <c r="DW38" s="126">
        <f>+DW36</f>
        <v>0.8291666666666666</v>
      </c>
      <c r="DX38" s="50">
        <f>+DU38-DW38</f>
        <v>2.4875000000000123</v>
      </c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41"/>
      <c r="FP38" s="41"/>
      <c r="FQ38" s="41"/>
      <c r="FR38" s="41"/>
      <c r="FS38" s="41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41"/>
      <c r="GZ38" s="41"/>
      <c r="HA38" s="44"/>
      <c r="HB38" s="41"/>
      <c r="HC38" s="41"/>
      <c r="HD38" s="50"/>
      <c r="HE38" s="51"/>
      <c r="HF38" s="51"/>
      <c r="HG38" s="51"/>
      <c r="HH38" s="51"/>
      <c r="HI38" s="34"/>
      <c r="HJ38" s="43"/>
      <c r="HK38" s="56" t="s">
        <v>405</v>
      </c>
      <c r="HL38" s="41"/>
      <c r="HM38" s="58">
        <f>+HM36/HM28</f>
        <v>71.60637455455267</v>
      </c>
      <c r="HN38" s="34"/>
      <c r="HO38" s="34"/>
      <c r="HP38" s="136"/>
      <c r="HQ38" s="144"/>
      <c r="HR38" s="145"/>
      <c r="HS38" s="145"/>
      <c r="HT38" s="144"/>
      <c r="HU38" s="34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</row>
    <row r="39" spans="1:244" s="233" customFormat="1" ht="17.25" thickBot="1">
      <c r="A39" s="34"/>
      <c r="B39" s="81"/>
      <c r="C39" s="81" t="s">
        <v>553</v>
      </c>
      <c r="D39" s="81"/>
      <c r="E39" s="81"/>
      <c r="F39" s="90">
        <f>(F31+F33)/F37</f>
        <v>0.5487667436555067</v>
      </c>
      <c r="G39" s="57"/>
      <c r="H39" s="34"/>
      <c r="I39" s="34"/>
      <c r="J39" s="34"/>
      <c r="K39" s="34"/>
      <c r="L39" s="34"/>
      <c r="M39" s="34"/>
      <c r="N39" s="34"/>
      <c r="O39" s="34"/>
      <c r="P39" s="41"/>
      <c r="Q39" s="106" t="s">
        <v>29</v>
      </c>
      <c r="R39" s="265" t="s">
        <v>468</v>
      </c>
      <c r="S39" s="265" t="s">
        <v>50</v>
      </c>
      <c r="T39" s="274" t="str">
        <f>+T6</f>
        <v>2022-23</v>
      </c>
      <c r="U39" s="265" t="str">
        <f>+W6</f>
        <v>2023-24</v>
      </c>
      <c r="V39" s="106" t="str">
        <f>+Z6</f>
        <v>2024-25</v>
      </c>
      <c r="W39" s="57"/>
      <c r="X39" s="57"/>
      <c r="Y39" s="34"/>
      <c r="Z39" s="34"/>
      <c r="AA39" s="34"/>
      <c r="AB39" s="34"/>
      <c r="AC39" s="34"/>
      <c r="AD39" s="34" t="s">
        <v>0</v>
      </c>
      <c r="AE39" s="41"/>
      <c r="AF39" s="56"/>
      <c r="AG39" s="50"/>
      <c r="AH39" s="50"/>
      <c r="AI39" s="50"/>
      <c r="AJ39" s="34"/>
      <c r="AK39" s="34"/>
      <c r="AL39" s="41" t="s">
        <v>81</v>
      </c>
      <c r="AM39" s="41" t="s">
        <v>613</v>
      </c>
      <c r="AN39" s="50">
        <f>+AN29-SUM(AN30:AN38)+0.01</f>
        <v>5.106186374999977</v>
      </c>
      <c r="AO39" s="50">
        <f aca="true" t="shared" si="70" ref="AO39:AU39">+AO29-SUM(AO30:AO38)</f>
        <v>6.959216874999994</v>
      </c>
      <c r="AP39" s="50">
        <f t="shared" si="70"/>
        <v>8.970618049999985</v>
      </c>
      <c r="AQ39" s="50">
        <f t="shared" si="70"/>
        <v>9.95958430000001</v>
      </c>
      <c r="AR39" s="50">
        <f t="shared" si="70"/>
        <v>10.967277237500001</v>
      </c>
      <c r="AS39" s="50">
        <f t="shared" si="70"/>
        <v>11.994116228125002</v>
      </c>
      <c r="AT39" s="50">
        <f t="shared" si="70"/>
        <v>13.040436774218758</v>
      </c>
      <c r="AU39" s="50">
        <f t="shared" si="70"/>
        <v>13.994540995257818</v>
      </c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422"/>
      <c r="BJ39" s="437" t="s">
        <v>593</v>
      </c>
      <c r="BK39" s="437"/>
      <c r="BL39" s="485">
        <f>SUM(BL36:BL38)</f>
        <v>129.6</v>
      </c>
      <c r="BM39" s="485">
        <f>SUM(BM36:BM38)</f>
        <v>151.2</v>
      </c>
      <c r="BN39" s="485">
        <f>SUM(BN36:BN38)</f>
        <v>172.8</v>
      </c>
      <c r="BO39" s="34"/>
      <c r="BP39" s="34"/>
      <c r="BQ39" s="41"/>
      <c r="BR39" s="41" t="s">
        <v>439</v>
      </c>
      <c r="BS39" s="397"/>
      <c r="BT39" s="50">
        <f>BS41</f>
        <v>0</v>
      </c>
      <c r="BU39" s="50">
        <f aca="true" t="shared" si="71" ref="BU39:CA39">+BT41</f>
        <v>5.745018383437497</v>
      </c>
      <c r="BV39" s="50">
        <f t="shared" si="71"/>
        <v>6.94290899645833</v>
      </c>
      <c r="BW39" s="50">
        <f t="shared" si="71"/>
        <v>9.493608669416641</v>
      </c>
      <c r="BX39" s="50">
        <f t="shared" si="71"/>
        <v>15.099271817374982</v>
      </c>
      <c r="BY39" s="50">
        <f t="shared" si="71"/>
        <v>21.341373797833313</v>
      </c>
      <c r="BZ39" s="50">
        <f t="shared" si="71"/>
        <v>28.192854213916647</v>
      </c>
      <c r="CA39" s="50">
        <f t="shared" si="71"/>
        <v>35.72720184630624</v>
      </c>
      <c r="CB39" s="64"/>
      <c r="CC39" s="34"/>
      <c r="CD39" s="391"/>
      <c r="CE39" s="391"/>
      <c r="CF39" s="420">
        <f aca="true" t="shared" si="72" ref="CF39:CN39">+CF28+CF36+CF38</f>
        <v>0</v>
      </c>
      <c r="CG39" s="420">
        <f>+CG28+CG36+CG38</f>
        <v>80.6154558834375</v>
      </c>
      <c r="CH39" s="420">
        <f t="shared" si="72"/>
        <v>87.98484649645833</v>
      </c>
      <c r="CI39" s="420">
        <f>+CI28+CI36+CI38</f>
        <v>96.78285866941667</v>
      </c>
      <c r="CJ39" s="420">
        <f t="shared" si="72"/>
        <v>100.84244306737499</v>
      </c>
      <c r="CK39" s="420">
        <f t="shared" si="72"/>
        <v>105.60577023533332</v>
      </c>
      <c r="CL39" s="420">
        <f t="shared" si="72"/>
        <v>111.24241457954166</v>
      </c>
      <c r="CM39" s="420">
        <f t="shared" si="72"/>
        <v>117.62266794364999</v>
      </c>
      <c r="CN39" s="420">
        <f t="shared" si="72"/>
        <v>128.00424432225063</v>
      </c>
      <c r="CO39" s="64"/>
      <c r="CP39" s="34"/>
      <c r="CQ39" s="34"/>
      <c r="CR39" s="493">
        <v>45</v>
      </c>
      <c r="CS39" s="493"/>
      <c r="CT39" s="493"/>
      <c r="CU39" s="493"/>
      <c r="CV39" s="493"/>
      <c r="CW39" s="34"/>
      <c r="CX39" s="493">
        <v>46</v>
      </c>
      <c r="CY39" s="493"/>
      <c r="CZ39" s="493"/>
      <c r="DA39" s="493"/>
      <c r="DB39" s="493"/>
      <c r="DC39" s="493"/>
      <c r="DD39" s="493"/>
      <c r="DE39" s="493"/>
      <c r="DF39" s="493"/>
      <c r="DG39" s="493"/>
      <c r="DH39" s="34"/>
      <c r="DI39" s="34"/>
      <c r="DJ39" s="34"/>
      <c r="DK39" s="493"/>
      <c r="DL39" s="493"/>
      <c r="DM39" s="493"/>
      <c r="DN39" s="493"/>
      <c r="DO39" s="493"/>
      <c r="DP39" s="493"/>
      <c r="DQ39" s="34"/>
      <c r="DR39" s="34"/>
      <c r="DS39" s="41"/>
      <c r="DT39" s="41" t="s">
        <v>121</v>
      </c>
      <c r="DU39" s="50">
        <f>+DX38</f>
        <v>2.4875000000000123</v>
      </c>
      <c r="DV39" s="50">
        <f>+DU39*$DV$6/4</f>
        <v>0.055968750000000275</v>
      </c>
      <c r="DW39" s="50">
        <f>+DW38</f>
        <v>0.8291666666666666</v>
      </c>
      <c r="DX39" s="50">
        <f>+DU39-DW39</f>
        <v>1.6583333333333456</v>
      </c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41"/>
      <c r="FP39" s="41"/>
      <c r="FQ39" s="41"/>
      <c r="FR39" s="41"/>
      <c r="FS39" s="41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41"/>
      <c r="GZ39" s="41"/>
      <c r="HA39" s="44"/>
      <c r="HB39" s="41"/>
      <c r="HC39" s="41"/>
      <c r="HD39" s="50"/>
      <c r="HE39" s="51"/>
      <c r="HF39" s="51"/>
      <c r="HG39" s="51"/>
      <c r="HH39" s="51"/>
      <c r="HI39" s="34"/>
      <c r="HJ39" s="43"/>
      <c r="HK39" s="41" t="s">
        <v>411</v>
      </c>
      <c r="HL39" s="41"/>
      <c r="HM39" s="58">
        <f>(HM36-HL35-HL34)/HM28</f>
        <v>47.179183576576904</v>
      </c>
      <c r="HN39" s="34"/>
      <c r="HO39" s="34"/>
      <c r="HP39" s="34"/>
      <c r="HQ39" s="34"/>
      <c r="HR39" s="34"/>
      <c r="HS39" s="34"/>
      <c r="HT39" s="34"/>
      <c r="HU39" s="34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</row>
    <row r="40" spans="1:244" s="233" customFormat="1" ht="17.25" thickTop="1">
      <c r="A40" s="34"/>
      <c r="B40" s="81"/>
      <c r="C40" s="81"/>
      <c r="D40" s="81"/>
      <c r="E40" s="81"/>
      <c r="F40" s="81"/>
      <c r="G40" s="57"/>
      <c r="H40" s="34"/>
      <c r="I40" s="34"/>
      <c r="J40" s="34"/>
      <c r="K40" s="34"/>
      <c r="L40" s="34"/>
      <c r="M40" s="34"/>
      <c r="N40" s="34"/>
      <c r="O40" s="34"/>
      <c r="P40" s="41"/>
      <c r="Q40" s="41"/>
      <c r="R40" s="43"/>
      <c r="S40" s="43"/>
      <c r="T40" s="43"/>
      <c r="U40" s="43"/>
      <c r="V40" s="41"/>
      <c r="W40" s="57"/>
      <c r="X40" s="57"/>
      <c r="Y40" s="34"/>
      <c r="Z40" s="34"/>
      <c r="AA40" s="34"/>
      <c r="AB40" s="34"/>
      <c r="AC40" s="34"/>
      <c r="AD40" s="34"/>
      <c r="AE40" s="41"/>
      <c r="AF40" s="107" t="s">
        <v>456</v>
      </c>
      <c r="AG40" s="108">
        <f>SUM(AG34:AG39)</f>
        <v>0.9269999999999999</v>
      </c>
      <c r="AH40" s="108">
        <f>SUM(AH34:AH39)</f>
        <v>1.047</v>
      </c>
      <c r="AI40" s="108">
        <f>SUM(AI34:AI39)</f>
        <v>1.167</v>
      </c>
      <c r="AJ40" s="34"/>
      <c r="AK40" s="81"/>
      <c r="AL40" s="41"/>
      <c r="AM40" s="41"/>
      <c r="AN40" s="50"/>
      <c r="AO40" s="50"/>
      <c r="AP40" s="50"/>
      <c r="AQ40" s="50"/>
      <c r="AR40" s="50"/>
      <c r="AS40" s="50"/>
      <c r="AT40" s="50"/>
      <c r="AU40" s="50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57"/>
      <c r="BJ40" s="57"/>
      <c r="BK40" s="57"/>
      <c r="BL40" s="57"/>
      <c r="BM40" s="57"/>
      <c r="BN40" s="57"/>
      <c r="BO40" s="34"/>
      <c r="BP40" s="34"/>
      <c r="BQ40" s="41"/>
      <c r="BR40" s="41" t="s">
        <v>446</v>
      </c>
      <c r="BS40" s="397"/>
      <c r="BT40" s="50">
        <f aca="true" t="shared" si="73" ref="BT40:CA40">+BT22-BT38</f>
        <v>5.745018383437497</v>
      </c>
      <c r="BU40" s="50">
        <f t="shared" si="73"/>
        <v>1.1978906130208333</v>
      </c>
      <c r="BV40" s="50">
        <f t="shared" si="73"/>
        <v>2.550699672958311</v>
      </c>
      <c r="BW40" s="50">
        <f t="shared" si="73"/>
        <v>5.6056631479583405</v>
      </c>
      <c r="BX40" s="50">
        <f t="shared" si="73"/>
        <v>6.242101980458333</v>
      </c>
      <c r="BY40" s="50">
        <f t="shared" si="73"/>
        <v>6.851480416083334</v>
      </c>
      <c r="BZ40" s="50">
        <f t="shared" si="73"/>
        <v>7.534347632389588</v>
      </c>
      <c r="CA40" s="50">
        <f t="shared" si="73"/>
        <v>11.477965933467818</v>
      </c>
      <c r="CB40" s="34"/>
      <c r="CC40" s="34"/>
      <c r="CD40" s="34"/>
      <c r="CE40" s="34"/>
      <c r="CF40" s="34"/>
      <c r="CG40" s="260"/>
      <c r="CH40" s="260"/>
      <c r="CI40" s="260"/>
      <c r="CJ40" s="260"/>
      <c r="CK40" s="260"/>
      <c r="CL40" s="260"/>
      <c r="CM40" s="260"/>
      <c r="CN40" s="260"/>
      <c r="CO40" s="260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41"/>
      <c r="DT40" s="41" t="s">
        <v>166</v>
      </c>
      <c r="DU40" s="50">
        <f>+DX39</f>
        <v>1.6583333333333456</v>
      </c>
      <c r="DV40" s="50">
        <f>+DU40*$DV$6/4</f>
        <v>0.037312500000000276</v>
      </c>
      <c r="DW40" s="50">
        <f>+DW39</f>
        <v>0.8291666666666666</v>
      </c>
      <c r="DX40" s="50">
        <f>+DU40-DW40</f>
        <v>0.829166666666679</v>
      </c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41">
        <v>2</v>
      </c>
      <c r="FP40" s="41" t="s">
        <v>438</v>
      </c>
      <c r="FQ40" s="41"/>
      <c r="FR40" s="41"/>
      <c r="FS40" s="41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41"/>
      <c r="GZ40" s="41"/>
      <c r="HA40" s="44"/>
      <c r="HB40" s="41"/>
      <c r="HC40" s="41"/>
      <c r="HD40" s="50"/>
      <c r="HE40" s="51"/>
      <c r="HF40" s="51"/>
      <c r="HG40" s="51"/>
      <c r="HH40" s="51"/>
      <c r="HI40" s="34"/>
      <c r="HJ40" s="43"/>
      <c r="HK40" s="41" t="s">
        <v>422</v>
      </c>
      <c r="HL40" s="41"/>
      <c r="HM40" s="395">
        <f>HM38/HM10</f>
        <v>0.4143887416351428</v>
      </c>
      <c r="HN40" s="34"/>
      <c r="HO40" s="34"/>
      <c r="HP40" s="34"/>
      <c r="HQ40" s="34"/>
      <c r="HR40" s="34"/>
      <c r="HS40" s="34"/>
      <c r="HT40" s="34"/>
      <c r="HU40" s="34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</row>
    <row r="41" spans="1:244" s="233" customFormat="1" ht="16.5">
      <c r="A41" s="34"/>
      <c r="B41" s="81"/>
      <c r="C41" s="81"/>
      <c r="D41" s="81"/>
      <c r="E41" s="81"/>
      <c r="F41" s="81"/>
      <c r="G41" s="57"/>
      <c r="H41" s="34"/>
      <c r="I41" s="34"/>
      <c r="J41" s="34"/>
      <c r="K41" s="34"/>
      <c r="L41" s="34"/>
      <c r="M41" s="34"/>
      <c r="N41" s="34"/>
      <c r="O41" s="34"/>
      <c r="P41" s="45"/>
      <c r="Q41" s="41" t="str">
        <f>+Q11</f>
        <v>Raw Materials</v>
      </c>
      <c r="R41" s="51">
        <v>7</v>
      </c>
      <c r="S41" s="51"/>
      <c r="T41" s="51">
        <f>AG12*$R$41/360</f>
        <v>1.8375</v>
      </c>
      <c r="U41" s="51">
        <f>AH12*$R$41/360</f>
        <v>2.14375</v>
      </c>
      <c r="V41" s="50">
        <f>AI12*$R$41/360</f>
        <v>2.45</v>
      </c>
      <c r="W41" s="64"/>
      <c r="X41" s="64"/>
      <c r="Y41" s="34"/>
      <c r="Z41" s="34"/>
      <c r="AA41" s="34"/>
      <c r="AB41" s="34"/>
      <c r="AC41" s="34"/>
      <c r="AD41" s="34"/>
      <c r="AE41" s="426"/>
      <c r="AF41" s="436" t="s">
        <v>459</v>
      </c>
      <c r="AG41" s="435"/>
      <c r="AH41" s="435"/>
      <c r="AI41" s="435"/>
      <c r="AJ41" s="34"/>
      <c r="AK41" s="34"/>
      <c r="AL41" s="41" t="s">
        <v>543</v>
      </c>
      <c r="AM41" s="41" t="s">
        <v>270</v>
      </c>
      <c r="AN41" s="50">
        <f>+F20/5</f>
        <v>0.2</v>
      </c>
      <c r="AO41" s="50">
        <f aca="true" t="shared" si="74" ref="AO41:AU41">+AN41</f>
        <v>0.2</v>
      </c>
      <c r="AP41" s="50">
        <f t="shared" si="74"/>
        <v>0.2</v>
      </c>
      <c r="AQ41" s="50">
        <f t="shared" si="74"/>
        <v>0.2</v>
      </c>
      <c r="AR41" s="50">
        <f t="shared" si="74"/>
        <v>0.2</v>
      </c>
      <c r="AS41" s="50">
        <v>0</v>
      </c>
      <c r="AT41" s="50">
        <f>+AS41</f>
        <v>0</v>
      </c>
      <c r="AU41" s="50">
        <f t="shared" si="74"/>
        <v>0</v>
      </c>
      <c r="AV41" s="34"/>
      <c r="AW41" s="495"/>
      <c r="AX41" s="495"/>
      <c r="AY41" s="495"/>
      <c r="AZ41" s="495"/>
      <c r="BA41" s="495"/>
      <c r="BB41" s="495"/>
      <c r="BC41" s="495"/>
      <c r="BD41" s="495"/>
      <c r="BE41" s="495"/>
      <c r="BF41" s="495"/>
      <c r="BG41" s="34"/>
      <c r="BH41" s="57"/>
      <c r="BI41" s="57"/>
      <c r="BJ41" s="317"/>
      <c r="BK41" s="57"/>
      <c r="BL41" s="64"/>
      <c r="BM41" s="64"/>
      <c r="BN41" s="64"/>
      <c r="BO41" s="34"/>
      <c r="BP41" s="34"/>
      <c r="BQ41" s="45"/>
      <c r="BR41" s="45" t="s">
        <v>448</v>
      </c>
      <c r="BS41" s="402"/>
      <c r="BT41" s="63">
        <f aca="true" t="shared" si="75" ref="BT41:CA41">+BT39+BT40</f>
        <v>5.745018383437497</v>
      </c>
      <c r="BU41" s="63">
        <f t="shared" si="75"/>
        <v>6.94290899645833</v>
      </c>
      <c r="BV41" s="63">
        <f t="shared" si="75"/>
        <v>9.493608669416641</v>
      </c>
      <c r="BW41" s="63">
        <f t="shared" si="75"/>
        <v>15.099271817374982</v>
      </c>
      <c r="BX41" s="63">
        <f t="shared" si="75"/>
        <v>21.341373797833313</v>
      </c>
      <c r="BY41" s="63">
        <f t="shared" si="75"/>
        <v>28.192854213916647</v>
      </c>
      <c r="BZ41" s="63">
        <f t="shared" si="75"/>
        <v>35.72720184630624</v>
      </c>
      <c r="CA41" s="63">
        <f t="shared" si="75"/>
        <v>47.20516777977406</v>
      </c>
      <c r="CB41" s="34"/>
      <c r="CC41" s="34"/>
      <c r="CD41" s="382"/>
      <c r="CE41" s="382"/>
      <c r="CF41" s="383"/>
      <c r="CG41" s="383"/>
      <c r="CH41" s="383"/>
      <c r="CI41" s="383"/>
      <c r="CJ41" s="383"/>
      <c r="CK41" s="383"/>
      <c r="CL41" s="383"/>
      <c r="CM41" s="383"/>
      <c r="CN41" s="383"/>
      <c r="CO41" s="260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41"/>
      <c r="DT41" s="41" t="s">
        <v>274</v>
      </c>
      <c r="DU41" s="50">
        <f>+DX40</f>
        <v>0.829166666666679</v>
      </c>
      <c r="DV41" s="50">
        <f>+DU41*$DV$6/4</f>
        <v>0.018656250000000277</v>
      </c>
      <c r="DW41" s="50">
        <f>+DW40</f>
        <v>0.8291666666666666</v>
      </c>
      <c r="DX41" s="50">
        <f>+DU41-DW41</f>
        <v>1.2434497875801753E-14</v>
      </c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41"/>
      <c r="FP41" s="41" t="s">
        <v>440</v>
      </c>
      <c r="FQ41" s="41"/>
      <c r="FR41" s="41"/>
      <c r="FS41" s="41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41"/>
      <c r="GZ41" s="41"/>
      <c r="HA41" s="44"/>
      <c r="HB41" s="41"/>
      <c r="HC41" s="41"/>
      <c r="HD41" s="50"/>
      <c r="HE41" s="51"/>
      <c r="HF41" s="51"/>
      <c r="HG41" s="51"/>
      <c r="HH41" s="51"/>
      <c r="HI41" s="34"/>
      <c r="HJ41" s="43"/>
      <c r="HK41" s="41"/>
      <c r="HL41" s="41"/>
      <c r="HM41" s="42"/>
      <c r="HN41" s="34"/>
      <c r="HO41" s="34"/>
      <c r="HP41" s="34"/>
      <c r="HQ41" s="34"/>
      <c r="HR41" s="34"/>
      <c r="HS41" s="34"/>
      <c r="HT41" s="34"/>
      <c r="HU41" s="34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</row>
    <row r="42" spans="1:244" s="233" customFormat="1" ht="17.25" thickBot="1">
      <c r="A42" s="34"/>
      <c r="B42" s="81"/>
      <c r="C42" s="81"/>
      <c r="D42" s="81"/>
      <c r="E42" s="81"/>
      <c r="F42" s="81"/>
      <c r="G42" s="57"/>
      <c r="H42" s="34"/>
      <c r="I42" s="34"/>
      <c r="J42" s="34"/>
      <c r="K42" s="34"/>
      <c r="L42" s="34"/>
      <c r="M42" s="34"/>
      <c r="N42" s="34"/>
      <c r="O42" s="34"/>
      <c r="P42" s="57"/>
      <c r="Q42" s="41"/>
      <c r="R42" s="43"/>
      <c r="S42" s="43"/>
      <c r="T42" s="43"/>
      <c r="U42" s="43"/>
      <c r="V42" s="41"/>
      <c r="W42" s="57"/>
      <c r="X42" s="57"/>
      <c r="Y42" s="34"/>
      <c r="Z42" s="34"/>
      <c r="AA42" s="34"/>
      <c r="AB42" s="34"/>
      <c r="AC42" s="34"/>
      <c r="AD42" s="275"/>
      <c r="AE42" s="422"/>
      <c r="AF42" s="437" t="s">
        <v>462</v>
      </c>
      <c r="AG42" s="488">
        <f>+AG19+AG25+AG33+AG40</f>
        <v>111.44700000000002</v>
      </c>
      <c r="AH42" s="488">
        <f>+AH19+AH25+AH33+AH40</f>
        <v>129.855</v>
      </c>
      <c r="AI42" s="488">
        <f>+AI19+AI25+AI33+AI40</f>
        <v>148.2828</v>
      </c>
      <c r="AJ42" s="34"/>
      <c r="AK42" s="34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270"/>
      <c r="BH42" s="57"/>
      <c r="BI42" s="504"/>
      <c r="BJ42" s="504"/>
      <c r="BK42" s="504"/>
      <c r="BL42" s="504"/>
      <c r="BM42" s="504"/>
      <c r="BN42" s="50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81"/>
      <c r="CH42" s="381"/>
      <c r="CI42" s="381"/>
      <c r="CJ42" s="381"/>
      <c r="CK42" s="381"/>
      <c r="CL42" s="381"/>
      <c r="CM42" s="381"/>
      <c r="CN42" s="381"/>
      <c r="CO42" s="260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106"/>
      <c r="DT42" s="106"/>
      <c r="DU42" s="108"/>
      <c r="DV42" s="108">
        <f>SUM(DV38:DV41)</f>
        <v>0.18656250000000113</v>
      </c>
      <c r="DW42" s="108">
        <f>SUM(DW38:DW41)</f>
        <v>3.3166666666666664</v>
      </c>
      <c r="DX42" s="108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34"/>
      <c r="EJ42" s="57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41"/>
      <c r="FP42" s="41"/>
      <c r="FQ42" s="41"/>
      <c r="FR42" s="41"/>
      <c r="FS42" s="41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41"/>
      <c r="GZ42" s="41"/>
      <c r="HA42" s="44"/>
      <c r="HB42" s="41"/>
      <c r="HC42" s="41"/>
      <c r="HD42" s="50"/>
      <c r="HE42" s="51"/>
      <c r="HF42" s="51"/>
      <c r="HG42" s="51"/>
      <c r="HH42" s="51"/>
      <c r="HI42" s="34"/>
      <c r="HJ42" s="43"/>
      <c r="HK42" s="56" t="s">
        <v>431</v>
      </c>
      <c r="HL42" s="41"/>
      <c r="HM42" s="395">
        <f>+HM39/HM10</f>
        <v>0.27302768273482003</v>
      </c>
      <c r="HN42" s="34"/>
      <c r="HO42" s="34"/>
      <c r="HP42" s="493"/>
      <c r="HQ42" s="493"/>
      <c r="HR42" s="493"/>
      <c r="HS42" s="493"/>
      <c r="HT42" s="493"/>
      <c r="HU42" s="34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</row>
    <row r="43" spans="1:244" s="233" customFormat="1" ht="17.25" thickTop="1">
      <c r="A43" s="34"/>
      <c r="B43" s="509"/>
      <c r="C43" s="509"/>
      <c r="D43" s="509"/>
      <c r="E43" s="509"/>
      <c r="F43" s="509"/>
      <c r="G43" s="57"/>
      <c r="H43" s="506"/>
      <c r="I43" s="506"/>
      <c r="J43" s="506"/>
      <c r="K43" s="506"/>
      <c r="L43" s="506"/>
      <c r="M43" s="506"/>
      <c r="N43" s="506"/>
      <c r="O43" s="34"/>
      <c r="P43" s="57"/>
      <c r="Q43" s="41"/>
      <c r="R43" s="43"/>
      <c r="S43" s="43"/>
      <c r="T43" s="43"/>
      <c r="U43" s="43"/>
      <c r="V43" s="41"/>
      <c r="W43" s="64"/>
      <c r="X43" s="64"/>
      <c r="Y43" s="34"/>
      <c r="Z43" s="34"/>
      <c r="AA43" s="34"/>
      <c r="AB43" s="34"/>
      <c r="AC43" s="34"/>
      <c r="AD43" s="275">
        <v>0.005</v>
      </c>
      <c r="AE43" s="34"/>
      <c r="AF43" s="34"/>
      <c r="AG43" s="34"/>
      <c r="AH43" s="34"/>
      <c r="AI43" s="34"/>
      <c r="AJ43" s="34"/>
      <c r="AK43" s="34"/>
      <c r="AL43" s="45" t="s">
        <v>544</v>
      </c>
      <c r="AM43" s="45" t="s">
        <v>460</v>
      </c>
      <c r="AN43" s="63">
        <f aca="true" t="shared" si="76" ref="AN43:AU43">AN39-AN41</f>
        <v>4.906186374999977</v>
      </c>
      <c r="AO43" s="63">
        <f t="shared" si="76"/>
        <v>6.759216874999994</v>
      </c>
      <c r="AP43" s="63">
        <f t="shared" si="76"/>
        <v>8.770618049999985</v>
      </c>
      <c r="AQ43" s="63">
        <f t="shared" si="76"/>
        <v>9.75958430000001</v>
      </c>
      <c r="AR43" s="63">
        <f t="shared" si="76"/>
        <v>10.767277237500002</v>
      </c>
      <c r="AS43" s="63">
        <f t="shared" si="76"/>
        <v>11.994116228125002</v>
      </c>
      <c r="AT43" s="63">
        <f t="shared" si="76"/>
        <v>13.040436774218758</v>
      </c>
      <c r="AU43" s="63">
        <f t="shared" si="76"/>
        <v>13.994540995257818</v>
      </c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57"/>
      <c r="BJ43" s="57"/>
      <c r="BK43" s="57"/>
      <c r="BL43" s="64"/>
      <c r="BM43" s="64"/>
      <c r="BN43" s="64"/>
      <c r="BO43" s="34"/>
      <c r="BP43" s="34"/>
      <c r="BQ43" s="34"/>
      <c r="BR43" s="34"/>
      <c r="BS43" s="34"/>
      <c r="BT43" s="260"/>
      <c r="BU43" s="260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260">
        <f aca="true" t="shared" si="77" ref="CF43:CN43">CF39-CF22</f>
        <v>0</v>
      </c>
      <c r="CG43" s="478">
        <f t="shared" si="77"/>
        <v>0</v>
      </c>
      <c r="CH43" s="478">
        <f t="shared" si="77"/>
        <v>0</v>
      </c>
      <c r="CI43" s="478">
        <f t="shared" si="77"/>
        <v>0</v>
      </c>
      <c r="CJ43" s="478">
        <f t="shared" si="77"/>
        <v>0</v>
      </c>
      <c r="CK43" s="478">
        <f t="shared" si="77"/>
        <v>0</v>
      </c>
      <c r="CL43" s="478">
        <f t="shared" si="77"/>
        <v>0</v>
      </c>
      <c r="CM43" s="478">
        <f t="shared" si="77"/>
        <v>0</v>
      </c>
      <c r="CN43" s="478">
        <f t="shared" si="77"/>
        <v>0</v>
      </c>
      <c r="CO43" s="260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57"/>
      <c r="DT43" s="57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34"/>
      <c r="EJ43" s="264"/>
      <c r="EK43" s="116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41">
        <v>3</v>
      </c>
      <c r="FP43" s="41" t="s">
        <v>449</v>
      </c>
      <c r="FQ43" s="41"/>
      <c r="FR43" s="41"/>
      <c r="FS43" s="41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45"/>
      <c r="GZ43" s="45"/>
      <c r="HA43" s="45"/>
      <c r="HB43" s="45"/>
      <c r="HC43" s="45"/>
      <c r="HD43" s="108"/>
      <c r="HE43" s="124"/>
      <c r="HF43" s="124"/>
      <c r="HG43" s="124"/>
      <c r="HH43" s="51"/>
      <c r="HI43" s="34"/>
      <c r="HJ43" s="43"/>
      <c r="HK43" s="41"/>
      <c r="HL43" s="41"/>
      <c r="HM43" s="42"/>
      <c r="HN43" s="34"/>
      <c r="HO43" s="34"/>
      <c r="HP43" s="34"/>
      <c r="HQ43" s="34"/>
      <c r="HR43" s="34"/>
      <c r="HS43" s="34"/>
      <c r="HT43" s="34"/>
      <c r="HU43" s="34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</row>
    <row r="44" spans="1:244" s="233" customFormat="1" ht="16.5">
      <c r="A44" s="34"/>
      <c r="B44" s="81"/>
      <c r="C44" s="81"/>
      <c r="D44" s="81"/>
      <c r="E44" s="81"/>
      <c r="F44" s="89"/>
      <c r="G44" s="57"/>
      <c r="H44" s="34"/>
      <c r="I44" s="34"/>
      <c r="J44" s="34"/>
      <c r="K44" s="34"/>
      <c r="L44" s="34"/>
      <c r="M44" s="34"/>
      <c r="N44" s="34"/>
      <c r="O44" s="34"/>
      <c r="P44" s="34"/>
      <c r="Q44" s="41" t="s">
        <v>489</v>
      </c>
      <c r="R44" s="51">
        <v>4</v>
      </c>
      <c r="S44" s="51"/>
      <c r="T44" s="51">
        <f>AG42*$R$44/360</f>
        <v>1.2383000000000002</v>
      </c>
      <c r="U44" s="51">
        <f>AH42*$R$44/360</f>
        <v>1.4428333333333332</v>
      </c>
      <c r="V44" s="50">
        <f>AI42*$R$44/360</f>
        <v>1.6475866666666668</v>
      </c>
      <c r="W44" s="64"/>
      <c r="X44" s="64"/>
      <c r="Y44" s="34"/>
      <c r="Z44" s="34"/>
      <c r="AA44" s="34"/>
      <c r="AB44" s="34"/>
      <c r="AC44" s="34"/>
      <c r="AD44" s="275"/>
      <c r="AE44" s="34"/>
      <c r="AF44" s="34"/>
      <c r="AG44" s="34" t="s">
        <v>0</v>
      </c>
      <c r="AH44" s="34" t="s">
        <v>0</v>
      </c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57"/>
      <c r="BJ44" s="57"/>
      <c r="BK44" s="57"/>
      <c r="BL44" s="64"/>
      <c r="BM44" s="64"/>
      <c r="BN44" s="64"/>
      <c r="BO44" s="34"/>
      <c r="BP44" s="34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3"/>
      <c r="CB44" s="34"/>
      <c r="CC44" s="34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260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57"/>
      <c r="DT44" s="57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34"/>
      <c r="EJ44" s="264"/>
      <c r="EK44" s="116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41"/>
      <c r="FP44" s="41"/>
      <c r="FQ44" s="41"/>
      <c r="FR44" s="41"/>
      <c r="FS44" s="41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</row>
    <row r="45" spans="1:244" s="233" customFormat="1" ht="16.5">
      <c r="A45" s="34"/>
      <c r="B45" s="81"/>
      <c r="C45" s="81"/>
      <c r="D45" s="318"/>
      <c r="E45" s="318"/>
      <c r="F45" s="318"/>
      <c r="G45" s="57"/>
      <c r="H45" s="34"/>
      <c r="I45" s="34"/>
      <c r="J45" s="34"/>
      <c r="K45" s="34"/>
      <c r="L45" s="34"/>
      <c r="M45" s="34"/>
      <c r="N45" s="34"/>
      <c r="O45" s="34"/>
      <c r="P45" s="273" t="s">
        <v>524</v>
      </c>
      <c r="Q45" s="41"/>
      <c r="R45" s="43"/>
      <c r="S45" s="43"/>
      <c r="T45" s="43"/>
      <c r="U45" s="43"/>
      <c r="V45" s="41"/>
      <c r="W45" s="64"/>
      <c r="X45" s="64"/>
      <c r="Y45" s="34"/>
      <c r="Z45" s="34"/>
      <c r="AA45" s="34"/>
      <c r="AB45" s="34"/>
      <c r="AC45" s="34"/>
      <c r="AD45" s="34"/>
      <c r="AE45" s="506"/>
      <c r="AF45" s="506"/>
      <c r="AG45" s="506"/>
      <c r="AH45" s="506"/>
      <c r="AI45" s="506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276"/>
      <c r="BI45" s="57"/>
      <c r="BJ45" s="73"/>
      <c r="BK45" s="73"/>
      <c r="BL45" s="57"/>
      <c r="BM45" s="57"/>
      <c r="BN45" s="6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513"/>
      <c r="CE45" s="513"/>
      <c r="CF45" s="513"/>
      <c r="CG45" s="513"/>
      <c r="CH45" s="513"/>
      <c r="CI45" s="513"/>
      <c r="CJ45" s="513"/>
      <c r="CK45" s="513"/>
      <c r="CL45" s="273"/>
      <c r="CM45" s="273"/>
      <c r="CN45" s="273"/>
      <c r="CO45" s="273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504"/>
      <c r="DT45" s="504"/>
      <c r="DU45" s="504"/>
      <c r="DV45" s="504"/>
      <c r="DW45" s="504"/>
      <c r="DX45" s="50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34"/>
      <c r="EJ45" s="57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41">
        <v>4</v>
      </c>
      <c r="FP45" s="41" t="s">
        <v>455</v>
      </c>
      <c r="FQ45" s="41"/>
      <c r="FR45" s="41"/>
      <c r="FS45" s="41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</row>
    <row r="46" spans="1:244" s="233" customFormat="1" ht="16.5">
      <c r="A46" s="34"/>
      <c r="B46" s="84"/>
      <c r="C46" s="84"/>
      <c r="D46" s="319"/>
      <c r="E46" s="319"/>
      <c r="F46" s="291"/>
      <c r="G46" s="57"/>
      <c r="H46" s="506"/>
      <c r="I46" s="506"/>
      <c r="J46" s="506"/>
      <c r="K46" s="506"/>
      <c r="L46" s="506"/>
      <c r="M46" s="506"/>
      <c r="N46" s="506"/>
      <c r="O46" s="34"/>
      <c r="P46" s="34"/>
      <c r="Q46" s="41" t="s">
        <v>497</v>
      </c>
      <c r="R46" s="51">
        <v>1</v>
      </c>
      <c r="S46" s="51"/>
      <c r="T46" s="51">
        <f>AG42*$R$46/360</f>
        <v>0.30957500000000004</v>
      </c>
      <c r="U46" s="51">
        <f>AH42*$R$46/360</f>
        <v>0.3607083333333333</v>
      </c>
      <c r="V46" s="50">
        <f>AI42*$R$46/360</f>
        <v>0.4118966666666667</v>
      </c>
      <c r="W46" s="64"/>
      <c r="X46" s="6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275"/>
      <c r="BI46" s="513" t="s">
        <v>525</v>
      </c>
      <c r="BJ46" s="513"/>
      <c r="BK46" s="513"/>
      <c r="BL46" s="513"/>
      <c r="BM46" s="513"/>
      <c r="BN46" s="513"/>
      <c r="BO46" s="270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513"/>
      <c r="CS46" s="513"/>
      <c r="CT46" s="513"/>
      <c r="CU46" s="513"/>
      <c r="CV46" s="513"/>
      <c r="CW46" s="273"/>
      <c r="CX46" s="513"/>
      <c r="CY46" s="513"/>
      <c r="CZ46" s="513"/>
      <c r="DA46" s="513"/>
      <c r="DB46" s="513"/>
      <c r="DC46" s="513"/>
      <c r="DD46" s="513"/>
      <c r="DE46" s="273"/>
      <c r="DF46" s="273"/>
      <c r="DG46" s="273"/>
      <c r="DH46" s="273"/>
      <c r="DI46" s="34"/>
      <c r="DJ46" s="34"/>
      <c r="DK46" s="513"/>
      <c r="DL46" s="513"/>
      <c r="DM46" s="513"/>
      <c r="DN46" s="513"/>
      <c r="DO46" s="513"/>
      <c r="DP46" s="513"/>
      <c r="DQ46" s="513"/>
      <c r="DR46" s="34"/>
      <c r="DS46" s="57"/>
      <c r="DT46" s="57"/>
      <c r="DU46" s="64"/>
      <c r="DV46" s="64"/>
      <c r="DW46" s="323"/>
      <c r="DX46" s="64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34"/>
      <c r="EJ46" s="57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41"/>
      <c r="FP46" s="41"/>
      <c r="FQ46" s="41"/>
      <c r="FR46" s="41"/>
      <c r="FS46" s="41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</row>
    <row r="47" spans="1:244" s="233" customFormat="1" ht="16.5">
      <c r="A47" s="34"/>
      <c r="B47" s="84"/>
      <c r="C47" s="84"/>
      <c r="D47" s="84"/>
      <c r="E47" s="84"/>
      <c r="F47" s="291"/>
      <c r="G47" s="57"/>
      <c r="H47" s="34"/>
      <c r="I47" s="34"/>
      <c r="J47" s="34"/>
      <c r="K47" s="34"/>
      <c r="L47" s="34"/>
      <c r="M47" s="34"/>
      <c r="N47" s="34"/>
      <c r="O47" s="34"/>
      <c r="P47" s="34"/>
      <c r="Q47" s="41"/>
      <c r="R47" s="43"/>
      <c r="S47" s="43"/>
      <c r="T47" s="43"/>
      <c r="U47" s="43"/>
      <c r="V47" s="41"/>
      <c r="W47" s="64"/>
      <c r="X47" s="6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277" t="s">
        <v>469</v>
      </c>
      <c r="AM47" s="116"/>
      <c r="AN47" s="264"/>
      <c r="AO47" s="264"/>
      <c r="AP47" s="264"/>
      <c r="AQ47" s="264"/>
      <c r="AR47" s="57"/>
      <c r="AS47" s="57"/>
      <c r="AT47" s="57"/>
      <c r="AU47" s="57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276"/>
      <c r="BI47" s="57"/>
      <c r="BJ47" s="57"/>
      <c r="BK47" s="57"/>
      <c r="BL47" s="64"/>
      <c r="BM47" s="64"/>
      <c r="BN47" s="6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260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57"/>
      <c r="DT47" s="57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34"/>
      <c r="EJ47" s="57"/>
      <c r="EK47" s="57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41">
        <v>5</v>
      </c>
      <c r="FP47" s="41" t="s">
        <v>458</v>
      </c>
      <c r="FQ47" s="41"/>
      <c r="FR47" s="41"/>
      <c r="FS47" s="41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</row>
    <row r="48" spans="1:244" s="233" customFormat="1" ht="16.5">
      <c r="A48" s="34"/>
      <c r="B48" s="320"/>
      <c r="C48" s="320"/>
      <c r="D48" s="320"/>
      <c r="E48" s="320"/>
      <c r="F48" s="321"/>
      <c r="G48" s="57"/>
      <c r="H48" s="34"/>
      <c r="I48" s="34"/>
      <c r="J48" s="34"/>
      <c r="K48" s="34"/>
      <c r="L48" s="34"/>
      <c r="M48" s="34"/>
      <c r="N48" s="34"/>
      <c r="O48" s="34"/>
      <c r="P48" s="34"/>
      <c r="Q48" s="41"/>
      <c r="R48" s="43"/>
      <c r="S48" s="43"/>
      <c r="T48" s="43"/>
      <c r="U48" s="43"/>
      <c r="V48" s="41"/>
      <c r="W48" s="64"/>
      <c r="X48" s="6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272"/>
      <c r="AK48" s="272"/>
      <c r="AL48" s="57"/>
      <c r="AM48" s="106"/>
      <c r="AN48" s="265" t="s">
        <v>435</v>
      </c>
      <c r="AO48" s="265" t="s">
        <v>412</v>
      </c>
      <c r="AP48" s="106" t="s">
        <v>412</v>
      </c>
      <c r="AQ48" s="57"/>
      <c r="AR48" s="57"/>
      <c r="AS48" s="57"/>
      <c r="AT48" s="57"/>
      <c r="AU48" s="57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276"/>
      <c r="BI48" s="57"/>
      <c r="BJ48" s="34"/>
      <c r="BK48" s="34"/>
      <c r="BL48" s="34"/>
      <c r="BM48" s="34"/>
      <c r="BN48" s="6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57"/>
      <c r="DT48" s="57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34"/>
      <c r="EJ48" s="57"/>
      <c r="EK48" s="57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41"/>
      <c r="FP48" s="41"/>
      <c r="FQ48" s="41"/>
      <c r="FR48" s="41"/>
      <c r="FS48" s="41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</row>
    <row r="49" spans="1:244" s="233" customFormat="1" ht="16.5">
      <c r="A49" s="34"/>
      <c r="B49" s="320"/>
      <c r="C49" s="320"/>
      <c r="D49" s="320"/>
      <c r="E49" s="320"/>
      <c r="F49" s="321"/>
      <c r="G49" s="57"/>
      <c r="H49" s="34"/>
      <c r="I49" s="34"/>
      <c r="J49" s="34"/>
      <c r="K49" s="34"/>
      <c r="L49" s="34"/>
      <c r="M49" s="34"/>
      <c r="N49" s="34"/>
      <c r="O49" s="34"/>
      <c r="P49" s="34"/>
      <c r="Q49" s="41"/>
      <c r="R49" s="43"/>
      <c r="S49" s="43"/>
      <c r="T49" s="236">
        <f>SUM(T41:T48)</f>
        <v>3.3853750000000002</v>
      </c>
      <c r="U49" s="236">
        <f>SUM(U41:U48)</f>
        <v>3.947291666666666</v>
      </c>
      <c r="V49" s="108">
        <f>SUM(V41:V48)</f>
        <v>4.509483333333333</v>
      </c>
      <c r="W49" s="64"/>
      <c r="X49" s="6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57"/>
      <c r="AM49" s="106" t="s">
        <v>472</v>
      </c>
      <c r="AN49" s="265" t="s">
        <v>473</v>
      </c>
      <c r="AO49" s="265" t="s">
        <v>474</v>
      </c>
      <c r="AP49" s="106" t="s">
        <v>475</v>
      </c>
      <c r="AQ49" s="57"/>
      <c r="AR49" s="57"/>
      <c r="AS49" s="57"/>
      <c r="AT49" s="57"/>
      <c r="AU49" s="57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22"/>
      <c r="BK49" s="322"/>
      <c r="BL49" s="260"/>
      <c r="BM49" s="260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260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57"/>
      <c r="DT49" s="57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34"/>
      <c r="EJ49" s="55"/>
      <c r="EK49" s="57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41">
        <v>6</v>
      </c>
      <c r="FP49" s="41" t="s">
        <v>463</v>
      </c>
      <c r="FQ49" s="41"/>
      <c r="FR49" s="41"/>
      <c r="FS49" s="41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495"/>
      <c r="HK49" s="493"/>
      <c r="HL49" s="493"/>
      <c r="HM49" s="493"/>
      <c r="HN49" s="34"/>
      <c r="HO49" s="34"/>
      <c r="HP49" s="34"/>
      <c r="HQ49" s="34"/>
      <c r="HR49" s="34"/>
      <c r="HS49" s="34"/>
      <c r="HT49" s="34"/>
      <c r="HU49" s="34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</row>
    <row r="50" spans="1:244" s="233" customFormat="1" ht="16.5">
      <c r="A50" s="34"/>
      <c r="B50" s="320"/>
      <c r="C50" s="320"/>
      <c r="D50" s="320"/>
      <c r="E50" s="320"/>
      <c r="F50" s="321"/>
      <c r="G50" s="57"/>
      <c r="H50" s="34"/>
      <c r="I50" s="34"/>
      <c r="J50" s="34"/>
      <c r="K50" s="34"/>
      <c r="L50" s="34"/>
      <c r="M50" s="34"/>
      <c r="N50" s="34"/>
      <c r="O50" s="34"/>
      <c r="P50" s="34"/>
      <c r="Q50" s="41"/>
      <c r="R50" s="43"/>
      <c r="S50" s="43"/>
      <c r="T50" s="43"/>
      <c r="U50" s="43"/>
      <c r="V50" s="41"/>
      <c r="W50" s="64"/>
      <c r="X50" s="6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57"/>
      <c r="AM50" s="41" t="s">
        <v>477</v>
      </c>
      <c r="AN50" s="51">
        <f>+AY32</f>
        <v>2.6787510307728972</v>
      </c>
      <c r="AO50" s="266">
        <f>+HM40</f>
        <v>0.4143887416351428</v>
      </c>
      <c r="AP50" s="111">
        <f>+HM42</f>
        <v>0.27302768273482003</v>
      </c>
      <c r="AQ50" s="268"/>
      <c r="AR50" s="57"/>
      <c r="AS50" s="57"/>
      <c r="AT50" s="57"/>
      <c r="AU50" s="57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260"/>
      <c r="BM50" s="260"/>
      <c r="BN50" s="260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57"/>
      <c r="DT50" s="57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34"/>
      <c r="EJ50" s="57"/>
      <c r="EK50" s="57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41"/>
      <c r="FP50" s="41"/>
      <c r="FQ50" s="41"/>
      <c r="FR50" s="41"/>
      <c r="FS50" s="41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</row>
    <row r="51" spans="1:244" s="233" customFormat="1" ht="16.5">
      <c r="A51" s="34"/>
      <c r="B51" s="320"/>
      <c r="C51" s="320"/>
      <c r="D51" s="320"/>
      <c r="E51" s="320"/>
      <c r="F51" s="321"/>
      <c r="G51" s="57"/>
      <c r="H51" s="34"/>
      <c r="I51" s="34"/>
      <c r="J51" s="34"/>
      <c r="K51" s="34"/>
      <c r="L51" s="34"/>
      <c r="M51" s="34"/>
      <c r="N51" s="34"/>
      <c r="O51" s="34"/>
      <c r="P51" s="34"/>
      <c r="Q51" s="41" t="str">
        <f>+Q20</f>
        <v>Outstanding Debtors</v>
      </c>
      <c r="R51" s="51">
        <v>15</v>
      </c>
      <c r="S51" s="51"/>
      <c r="T51" s="51">
        <f>BL39*$R$51/360</f>
        <v>5.4</v>
      </c>
      <c r="U51" s="51">
        <f>BM39*$R$51/360</f>
        <v>6.3</v>
      </c>
      <c r="V51" s="50">
        <f>BN39*$R$51/360</f>
        <v>7.2</v>
      </c>
      <c r="W51" s="64"/>
      <c r="X51" s="6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57"/>
      <c r="AM51" s="41"/>
      <c r="AN51" s="43"/>
      <c r="AO51" s="43"/>
      <c r="AP51" s="41"/>
      <c r="AQ51" s="57"/>
      <c r="AR51" s="57"/>
      <c r="AS51" s="57"/>
      <c r="AT51" s="57"/>
      <c r="AU51" s="57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260"/>
      <c r="BM51" s="260"/>
      <c r="BN51" s="260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57"/>
      <c r="DT51" s="57"/>
      <c r="DU51" s="64"/>
      <c r="DV51" s="64"/>
      <c r="DW51" s="323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34"/>
      <c r="EJ51" s="64"/>
      <c r="EK51" s="57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41">
        <v>7</v>
      </c>
      <c r="FP51" s="41" t="s">
        <v>467</v>
      </c>
      <c r="FQ51" s="41"/>
      <c r="FR51" s="41"/>
      <c r="FS51" s="41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</row>
    <row r="52" spans="1:244" s="233" customFormat="1" ht="16.5">
      <c r="A52" s="34"/>
      <c r="B52" s="507"/>
      <c r="C52" s="508"/>
      <c r="D52" s="508"/>
      <c r="E52" s="508"/>
      <c r="F52" s="508"/>
      <c r="G52" s="57"/>
      <c r="H52" s="34"/>
      <c r="I52" s="34"/>
      <c r="J52" s="34"/>
      <c r="K52" s="34"/>
      <c r="L52" s="34"/>
      <c r="M52" s="34"/>
      <c r="N52" s="34"/>
      <c r="O52" s="34"/>
      <c r="P52" s="34"/>
      <c r="Q52" s="41"/>
      <c r="R52" s="43"/>
      <c r="S52" s="43"/>
      <c r="T52" s="43"/>
      <c r="U52" s="43"/>
      <c r="V52" s="41"/>
      <c r="W52" s="64"/>
      <c r="X52" s="6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57"/>
      <c r="AM52" s="41" t="s">
        <v>480</v>
      </c>
      <c r="AN52" s="43">
        <v>1.66</v>
      </c>
      <c r="AO52" s="267">
        <v>0.5023</v>
      </c>
      <c r="AP52" s="114">
        <v>0.2424</v>
      </c>
      <c r="AQ52" s="269"/>
      <c r="AR52" s="57"/>
      <c r="AS52" s="57"/>
      <c r="AT52" s="57"/>
      <c r="AU52" s="57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260"/>
      <c r="BM52" s="260"/>
      <c r="BN52" s="260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57"/>
      <c r="DT52" s="57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34"/>
      <c r="EJ52" s="57"/>
      <c r="EK52" s="57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41"/>
      <c r="FP52" s="41" t="s">
        <v>470</v>
      </c>
      <c r="FQ52" s="41"/>
      <c r="FR52" s="41"/>
      <c r="FS52" s="41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</row>
    <row r="53" spans="1:244" s="233" customFormat="1" ht="16.5">
      <c r="A53" s="34"/>
      <c r="B53" s="320"/>
      <c r="C53" s="320"/>
      <c r="D53" s="320"/>
      <c r="E53" s="320"/>
      <c r="F53" s="321"/>
      <c r="G53" s="57"/>
      <c r="H53" s="34"/>
      <c r="I53" s="34"/>
      <c r="J53" s="34"/>
      <c r="K53" s="34"/>
      <c r="L53" s="34"/>
      <c r="M53" s="34"/>
      <c r="N53" s="34"/>
      <c r="O53" s="34"/>
      <c r="P53" s="34"/>
      <c r="Q53" s="41"/>
      <c r="R53" s="43"/>
      <c r="S53" s="43"/>
      <c r="T53" s="236">
        <f>+T51+T49</f>
        <v>8.785375</v>
      </c>
      <c r="U53" s="236">
        <f>+U51+U49</f>
        <v>10.247291666666666</v>
      </c>
      <c r="V53" s="108">
        <f>+V51+V49</f>
        <v>11.709483333333333</v>
      </c>
      <c r="W53" s="64"/>
      <c r="X53" s="6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57"/>
      <c r="AM53" s="41"/>
      <c r="AN53" s="43"/>
      <c r="AO53" s="267"/>
      <c r="AP53" s="114"/>
      <c r="AQ53" s="269"/>
      <c r="AR53" s="57"/>
      <c r="AS53" s="57"/>
      <c r="AT53" s="57"/>
      <c r="AU53" s="57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262"/>
      <c r="BJ53" s="34"/>
      <c r="BK53" s="34"/>
      <c r="BL53" s="260"/>
      <c r="BM53" s="260"/>
      <c r="BN53" s="260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>
        <f>3.39-0.17</f>
        <v>3.22</v>
      </c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57"/>
      <c r="DT53" s="57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34"/>
      <c r="EJ53" s="64"/>
      <c r="EK53" s="6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45"/>
      <c r="FP53" s="45"/>
      <c r="FQ53" s="45"/>
      <c r="FR53" s="45"/>
      <c r="FS53" s="45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</row>
    <row r="54" spans="1:244" s="233" customFormat="1" ht="16.5">
      <c r="A54" s="34"/>
      <c r="B54" s="320"/>
      <c r="C54" s="320"/>
      <c r="D54" s="320"/>
      <c r="E54" s="320"/>
      <c r="F54" s="321"/>
      <c r="G54" s="57"/>
      <c r="H54" s="34"/>
      <c r="I54" s="34"/>
      <c r="J54" s="34"/>
      <c r="K54" s="34"/>
      <c r="L54" s="34"/>
      <c r="M54" s="34"/>
      <c r="N54" s="34"/>
      <c r="O54" s="34"/>
      <c r="P54" s="34"/>
      <c r="Q54" s="41"/>
      <c r="R54" s="43"/>
      <c r="S54" s="43"/>
      <c r="T54" s="43"/>
      <c r="U54" s="43"/>
      <c r="V54" s="41"/>
      <c r="W54" s="64"/>
      <c r="X54" s="64"/>
      <c r="Y54" s="34"/>
      <c r="Z54" s="34"/>
      <c r="AA54" s="34"/>
      <c r="AB54" s="34"/>
      <c r="AC54" s="34"/>
      <c r="AD54" s="324"/>
      <c r="AE54" s="34"/>
      <c r="AF54" s="34"/>
      <c r="AG54" s="34"/>
      <c r="AH54" s="34"/>
      <c r="AI54" s="34"/>
      <c r="AJ54" s="34"/>
      <c r="AK54" s="34"/>
      <c r="AL54" s="57"/>
      <c r="AM54" s="41" t="s">
        <v>484</v>
      </c>
      <c r="AN54" s="43">
        <v>1.74</v>
      </c>
      <c r="AO54" s="267">
        <v>0.5348</v>
      </c>
      <c r="AP54" s="114">
        <v>0.2581</v>
      </c>
      <c r="AQ54" s="269"/>
      <c r="AR54" s="57"/>
      <c r="AS54" s="57"/>
      <c r="AT54" s="57"/>
      <c r="AU54" s="57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260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57"/>
      <c r="DT54" s="57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34"/>
      <c r="EJ54" s="64"/>
      <c r="EK54" s="6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41"/>
      <c r="FP54" s="41" t="s">
        <v>24</v>
      </c>
      <c r="FQ54" s="41"/>
      <c r="FR54" s="41"/>
      <c r="FS54" s="41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</row>
    <row r="55" spans="1:244" s="233" customFormat="1" ht="16.5">
      <c r="A55" s="34"/>
      <c r="B55" s="320"/>
      <c r="C55" s="320"/>
      <c r="D55" s="320"/>
      <c r="E55" s="320"/>
      <c r="F55" s="321"/>
      <c r="G55" s="57"/>
      <c r="H55" s="34"/>
      <c r="I55" s="34"/>
      <c r="J55" s="34"/>
      <c r="K55" s="34"/>
      <c r="L55" s="34"/>
      <c r="M55" s="34"/>
      <c r="N55" s="34"/>
      <c r="O55" s="34"/>
      <c r="P55" s="34"/>
      <c r="Q55" s="41" t="s">
        <v>502</v>
      </c>
      <c r="R55" s="51">
        <v>3</v>
      </c>
      <c r="S55" s="51"/>
      <c r="T55" s="51">
        <f>AG12*$R$55/360</f>
        <v>0.7875</v>
      </c>
      <c r="U55" s="51">
        <f>AH12*$R$55/360</f>
        <v>0.91875</v>
      </c>
      <c r="V55" s="50">
        <f>AI12*$R$55/360</f>
        <v>1.05</v>
      </c>
      <c r="W55" s="64"/>
      <c r="X55" s="6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57"/>
      <c r="AM55" s="41"/>
      <c r="AN55" s="43"/>
      <c r="AO55" s="267"/>
      <c r="AP55" s="114"/>
      <c r="AQ55" s="269"/>
      <c r="AR55" s="57"/>
      <c r="AS55" s="57"/>
      <c r="AT55" s="57"/>
      <c r="AU55" s="57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260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57"/>
      <c r="DT55" s="57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34"/>
      <c r="EJ55" s="64"/>
      <c r="EK55" s="6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45"/>
      <c r="FP55" s="45"/>
      <c r="FQ55" s="45"/>
      <c r="FR55" s="45"/>
      <c r="FS55" s="45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</row>
    <row r="56" spans="1:244" s="233" customFormat="1" ht="16.5">
      <c r="A56" s="34"/>
      <c r="B56" s="493" t="s">
        <v>622</v>
      </c>
      <c r="C56" s="493"/>
      <c r="D56" s="493"/>
      <c r="E56" s="493"/>
      <c r="F56" s="493"/>
      <c r="G56" s="57"/>
      <c r="H56" s="34"/>
      <c r="I56" s="34"/>
      <c r="J56" s="34"/>
      <c r="K56" s="34"/>
      <c r="L56" s="34"/>
      <c r="M56" s="34"/>
      <c r="N56" s="34"/>
      <c r="O56" s="34"/>
      <c r="P56" s="34"/>
      <c r="Q56" s="41"/>
      <c r="R56" s="43"/>
      <c r="S56" s="43"/>
      <c r="T56" s="43"/>
      <c r="U56" s="43"/>
      <c r="V56" s="41"/>
      <c r="W56" s="64"/>
      <c r="X56" s="6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57"/>
      <c r="AM56" s="41" t="s">
        <v>495</v>
      </c>
      <c r="AN56" s="43">
        <v>1.99</v>
      </c>
      <c r="AO56" s="267">
        <v>0.469</v>
      </c>
      <c r="AP56" s="114">
        <v>0.2263</v>
      </c>
      <c r="AQ56" s="269"/>
      <c r="AR56" s="57"/>
      <c r="AS56" s="57"/>
      <c r="AT56" s="57"/>
      <c r="AU56" s="57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57"/>
      <c r="DT56" s="57"/>
      <c r="DU56" s="64"/>
      <c r="DV56" s="64"/>
      <c r="DW56" s="323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34"/>
      <c r="EJ56" s="323"/>
      <c r="EK56" s="6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</row>
    <row r="57" spans="1:244" s="233" customFormat="1" ht="16.5">
      <c r="A57" s="34"/>
      <c r="B57" s="271"/>
      <c r="C57" s="271"/>
      <c r="D57" s="271"/>
      <c r="E57" s="271"/>
      <c r="F57" s="271"/>
      <c r="G57" s="57"/>
      <c r="H57" s="34"/>
      <c r="I57" s="34"/>
      <c r="J57" s="34"/>
      <c r="K57" s="34"/>
      <c r="L57" s="34"/>
      <c r="M57" s="34"/>
      <c r="N57" s="34"/>
      <c r="O57" s="34"/>
      <c r="P57" s="34"/>
      <c r="Q57" s="41" t="s">
        <v>503</v>
      </c>
      <c r="R57" s="43"/>
      <c r="S57" s="43"/>
      <c r="T57" s="236">
        <f>+T53-T55</f>
        <v>7.9978750000000005</v>
      </c>
      <c r="U57" s="236">
        <f>+U53-U55</f>
        <v>9.328541666666666</v>
      </c>
      <c r="V57" s="108">
        <f>+V53-V55</f>
        <v>10.659483333333332</v>
      </c>
      <c r="W57" s="64"/>
      <c r="X57" s="6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57"/>
      <c r="AM57" s="41"/>
      <c r="AN57" s="43"/>
      <c r="AO57" s="267"/>
      <c r="AP57" s="114"/>
      <c r="AQ57" s="269"/>
      <c r="AR57" s="57"/>
      <c r="AS57" s="57"/>
      <c r="AT57" s="57"/>
      <c r="AU57" s="57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57"/>
      <c r="DT57" s="57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34"/>
      <c r="EJ57" s="57"/>
      <c r="EK57" s="57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 t="s">
        <v>481</v>
      </c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</row>
    <row r="58" spans="1:244" s="233" customFormat="1" ht="16.5">
      <c r="A58" s="34"/>
      <c r="B58" s="34"/>
      <c r="C58" s="34"/>
      <c r="D58" s="34"/>
      <c r="E58" s="34"/>
      <c r="F58" s="35" t="s">
        <v>563</v>
      </c>
      <c r="G58" s="57"/>
      <c r="H58" s="34"/>
      <c r="I58" s="34"/>
      <c r="J58" s="34"/>
      <c r="K58" s="34"/>
      <c r="L58" s="34"/>
      <c r="M58" s="34"/>
      <c r="N58" s="34"/>
      <c r="O58" s="34"/>
      <c r="P58" s="34"/>
      <c r="Q58" s="41"/>
      <c r="R58" s="43"/>
      <c r="S58" s="43"/>
      <c r="T58" s="43"/>
      <c r="U58" s="43"/>
      <c r="V58" s="41"/>
      <c r="W58" s="64"/>
      <c r="X58" s="6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57"/>
      <c r="AM58" s="41" t="s">
        <v>499</v>
      </c>
      <c r="AN58" s="43">
        <v>1.62</v>
      </c>
      <c r="AO58" s="267">
        <v>0.6807</v>
      </c>
      <c r="AP58" s="114">
        <v>0.3285</v>
      </c>
      <c r="AQ58" s="269"/>
      <c r="AR58" s="57"/>
      <c r="AS58" s="57"/>
      <c r="AT58" s="57"/>
      <c r="AU58" s="57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57"/>
      <c r="DT58" s="57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34"/>
      <c r="EJ58" s="64"/>
      <c r="EK58" s="6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62"/>
      <c r="FP58" s="62"/>
      <c r="FQ58" s="62"/>
      <c r="FR58" s="62"/>
      <c r="FS58" s="62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</row>
    <row r="59" spans="1:244" s="233" customFormat="1" ht="16.5">
      <c r="A59" s="34"/>
      <c r="B59" s="36"/>
      <c r="C59" s="37"/>
      <c r="D59" s="38"/>
      <c r="E59" s="38"/>
      <c r="F59" s="40" t="s">
        <v>24</v>
      </c>
      <c r="G59" s="57"/>
      <c r="H59" s="34"/>
      <c r="I59" s="34"/>
      <c r="J59" s="34"/>
      <c r="K59" s="34"/>
      <c r="L59" s="34"/>
      <c r="M59" s="34"/>
      <c r="N59" s="34"/>
      <c r="O59" s="34"/>
      <c r="P59" s="34"/>
      <c r="Q59" s="60" t="s">
        <v>504</v>
      </c>
      <c r="R59" s="43"/>
      <c r="S59" s="43"/>
      <c r="T59" s="51">
        <f>+V28</f>
        <v>14.701359375000003</v>
      </c>
      <c r="U59" s="51">
        <f>+Y28</f>
        <v>17.148984374999998</v>
      </c>
      <c r="V59" s="50">
        <f>+AB28</f>
        <v>19.596918750000004</v>
      </c>
      <c r="W59" s="64"/>
      <c r="X59" s="6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57"/>
      <c r="AM59" s="45"/>
      <c r="AN59" s="47"/>
      <c r="AO59" s="47"/>
      <c r="AP59" s="45"/>
      <c r="AQ59" s="57"/>
      <c r="AR59" s="57"/>
      <c r="AS59" s="57"/>
      <c r="AT59" s="57"/>
      <c r="AU59" s="57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57"/>
      <c r="DT59" s="57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34"/>
      <c r="EJ59" s="323"/>
      <c r="EK59" s="6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41" t="s">
        <v>101</v>
      </c>
      <c r="FP59" s="41" t="s">
        <v>485</v>
      </c>
      <c r="FQ59" s="41" t="s">
        <v>64</v>
      </c>
      <c r="FR59" s="41" t="s">
        <v>69</v>
      </c>
      <c r="FS59" s="41" t="s">
        <v>486</v>
      </c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</row>
    <row r="60" spans="1:244" s="233" customFormat="1" ht="16.5">
      <c r="A60" s="34"/>
      <c r="B60" s="41" t="s">
        <v>31</v>
      </c>
      <c r="C60" s="42"/>
      <c r="D60" s="43"/>
      <c r="E60" s="43"/>
      <c r="F60" s="44" t="s">
        <v>32</v>
      </c>
      <c r="G60" s="57"/>
      <c r="H60" s="34"/>
      <c r="I60" s="34"/>
      <c r="J60" s="34"/>
      <c r="K60" s="34"/>
      <c r="L60" s="34"/>
      <c r="M60" s="34"/>
      <c r="N60" s="34"/>
      <c r="O60" s="34"/>
      <c r="P60" s="34"/>
      <c r="Q60" s="41"/>
      <c r="R60" s="43"/>
      <c r="S60" s="43"/>
      <c r="T60" s="43"/>
      <c r="U60" s="43"/>
      <c r="V60" s="41"/>
      <c r="W60" s="64"/>
      <c r="X60" s="6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57"/>
      <c r="DT60" s="57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34"/>
      <c r="EJ60" s="57"/>
      <c r="EK60" s="6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41" t="s">
        <v>490</v>
      </c>
      <c r="FP60" s="41"/>
      <c r="FQ60" s="41" t="s">
        <v>491</v>
      </c>
      <c r="FR60" s="41" t="s">
        <v>492</v>
      </c>
      <c r="FS60" s="41" t="s">
        <v>493</v>
      </c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</row>
    <row r="61" spans="1:244" s="233" customFormat="1" ht="16.5">
      <c r="A61" s="34"/>
      <c r="B61" s="45" t="s">
        <v>46</v>
      </c>
      <c r="C61" s="46" t="s">
        <v>29</v>
      </c>
      <c r="D61" s="47"/>
      <c r="E61" s="47"/>
      <c r="F61" s="48" t="s">
        <v>42</v>
      </c>
      <c r="G61" s="57"/>
      <c r="H61" s="34"/>
      <c r="I61" s="34"/>
      <c r="J61" s="34"/>
      <c r="K61" s="34"/>
      <c r="L61" s="34"/>
      <c r="M61" s="34"/>
      <c r="N61" s="34"/>
      <c r="O61" s="34"/>
      <c r="P61" s="34"/>
      <c r="Q61" s="41" t="s">
        <v>505</v>
      </c>
      <c r="R61" s="43"/>
      <c r="S61" s="43"/>
      <c r="T61" s="51">
        <f>+T57-T59</f>
        <v>-6.703484375000002</v>
      </c>
      <c r="U61" s="51">
        <f>+U57-U59</f>
        <v>-7.820442708333331</v>
      </c>
      <c r="V61" s="50">
        <f>+V57-V59</f>
        <v>-8.937435416666672</v>
      </c>
      <c r="W61" s="64"/>
      <c r="X61" s="6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57"/>
      <c r="DT61" s="57"/>
      <c r="DU61" s="64"/>
      <c r="DV61" s="64"/>
      <c r="DW61" s="323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34"/>
      <c r="EJ61" s="57"/>
      <c r="EK61" s="57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45"/>
      <c r="FP61" s="45"/>
      <c r="FQ61" s="45"/>
      <c r="FR61" s="45"/>
      <c r="FS61" s="45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</row>
    <row r="62" spans="1:244" s="233" customFormat="1" ht="16.5">
      <c r="A62" s="34"/>
      <c r="B62" s="36"/>
      <c r="C62" s="37"/>
      <c r="D62" s="38"/>
      <c r="E62" s="38"/>
      <c r="F62" s="39"/>
      <c r="G62" s="57"/>
      <c r="H62" s="34"/>
      <c r="I62" s="34"/>
      <c r="J62" s="34"/>
      <c r="K62" s="34"/>
      <c r="L62" s="34"/>
      <c r="M62" s="34"/>
      <c r="N62" s="34"/>
      <c r="O62" s="34"/>
      <c r="P62" s="34"/>
      <c r="Q62" s="41"/>
      <c r="R62" s="43"/>
      <c r="S62" s="43"/>
      <c r="T62" s="43"/>
      <c r="U62" s="43"/>
      <c r="V62" s="41"/>
      <c r="W62" s="64"/>
      <c r="X62" s="6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57"/>
      <c r="DT62" s="57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34"/>
      <c r="EJ62" s="64"/>
      <c r="EK62" s="6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42"/>
      <c r="FP62" s="57"/>
      <c r="FQ62" s="57"/>
      <c r="FR62" s="57"/>
      <c r="FS62" s="43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</row>
    <row r="63" spans="1:244" s="233" customFormat="1" ht="16.5">
      <c r="A63" s="34"/>
      <c r="B63" s="41">
        <v>1</v>
      </c>
      <c r="C63" s="49" t="s">
        <v>107</v>
      </c>
      <c r="D63" s="43"/>
      <c r="E63" s="43"/>
      <c r="F63" s="51"/>
      <c r="G63" s="57"/>
      <c r="H63" s="34"/>
      <c r="I63" s="34"/>
      <c r="J63" s="34"/>
      <c r="K63" s="34"/>
      <c r="L63" s="34"/>
      <c r="M63" s="34"/>
      <c r="N63" s="34"/>
      <c r="O63" s="34"/>
      <c r="P63" s="34"/>
      <c r="Q63" s="41" t="s">
        <v>181</v>
      </c>
      <c r="R63" s="43"/>
      <c r="S63" s="43"/>
      <c r="T63" s="51">
        <f>T61*16%</f>
        <v>-1.0725575000000003</v>
      </c>
      <c r="U63" s="51">
        <f>U61*16%</f>
        <v>-1.251270833333333</v>
      </c>
      <c r="V63" s="50">
        <f>V61*16%</f>
        <v>-1.4299896666666674</v>
      </c>
      <c r="W63" s="64"/>
      <c r="X63" s="6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57"/>
      <c r="DT63" s="57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34"/>
      <c r="EJ63" s="323"/>
      <c r="EK63" s="6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42"/>
      <c r="FP63" s="57"/>
      <c r="FQ63" s="57"/>
      <c r="FR63" s="57"/>
      <c r="FS63" s="43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</row>
    <row r="64" spans="1:244" s="233" customFormat="1" ht="16.5">
      <c r="A64" s="34"/>
      <c r="B64" s="41"/>
      <c r="C64" s="42"/>
      <c r="D64" s="43"/>
      <c r="E64" s="43"/>
      <c r="F64" s="50"/>
      <c r="G64" s="57"/>
      <c r="H64" s="34"/>
      <c r="I64" s="34"/>
      <c r="J64" s="34"/>
      <c r="K64" s="34"/>
      <c r="L64" s="34"/>
      <c r="M64" s="34"/>
      <c r="N64" s="34"/>
      <c r="O64" s="34"/>
      <c r="P64" s="34"/>
      <c r="Q64" s="45"/>
      <c r="R64" s="47"/>
      <c r="S64" s="47"/>
      <c r="T64" s="47"/>
      <c r="U64" s="47"/>
      <c r="V64" s="45"/>
      <c r="W64" s="57"/>
      <c r="X64" s="57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57"/>
      <c r="DT64" s="57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34"/>
      <c r="EJ64" s="64"/>
      <c r="EK64" s="6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46"/>
      <c r="FP64" s="62"/>
      <c r="FQ64" s="62"/>
      <c r="FR64" s="62"/>
      <c r="FS64" s="47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</row>
    <row r="65" spans="1:244" s="233" customFormat="1" ht="16.5">
      <c r="A65" s="34"/>
      <c r="B65" s="41"/>
      <c r="C65" s="52" t="s">
        <v>198</v>
      </c>
      <c r="D65" s="53" t="s">
        <v>554</v>
      </c>
      <c r="E65" s="54">
        <v>1.5</v>
      </c>
      <c r="F65" s="50"/>
      <c r="G65" s="57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57"/>
      <c r="DT65" s="57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34"/>
      <c r="EJ65" s="64"/>
      <c r="EK65" s="6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57"/>
      <c r="FP65" s="57"/>
      <c r="FQ65" s="57"/>
      <c r="FR65" s="57"/>
      <c r="FS65" s="57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</row>
    <row r="66" spans="1:244" s="233" customFormat="1" ht="16.5">
      <c r="A66" s="34"/>
      <c r="B66" s="41"/>
      <c r="C66" s="52"/>
      <c r="D66" s="53" t="s">
        <v>224</v>
      </c>
      <c r="E66" s="53"/>
      <c r="F66" s="50"/>
      <c r="G66" s="57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260"/>
      <c r="U66" s="260"/>
      <c r="V66" s="260"/>
      <c r="W66" s="260"/>
      <c r="X66" s="260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34"/>
      <c r="EJ66" s="64"/>
      <c r="EK66" s="6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57"/>
      <c r="FP66" s="57"/>
      <c r="FQ66" s="57"/>
      <c r="FR66" s="57"/>
      <c r="FS66" s="57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</row>
    <row r="67" spans="1:244" s="233" customFormat="1" ht="16.5">
      <c r="A67" s="34"/>
      <c r="B67" s="41"/>
      <c r="C67" s="52"/>
      <c r="D67" s="55"/>
      <c r="E67" s="56"/>
      <c r="F67" s="50"/>
      <c r="G67" s="57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34"/>
      <c r="EJ67" s="64"/>
      <c r="EK67" s="6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57"/>
      <c r="FP67" s="57"/>
      <c r="FQ67" s="57"/>
      <c r="FR67" s="57"/>
      <c r="FS67" s="57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</row>
    <row r="68" spans="1:244" s="233" customFormat="1" ht="16.5">
      <c r="A68" s="34"/>
      <c r="B68" s="41"/>
      <c r="C68" s="52" t="s">
        <v>246</v>
      </c>
      <c r="D68" s="57" t="s">
        <v>247</v>
      </c>
      <c r="E68" s="76">
        <v>0.5</v>
      </c>
      <c r="F68" s="343">
        <f>+E68+E65</f>
        <v>2</v>
      </c>
      <c r="G68" s="57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34"/>
      <c r="EJ68" s="64"/>
      <c r="EK68" s="6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</row>
    <row r="69" spans="1:244" s="233" customFormat="1" ht="16.5">
      <c r="A69" s="34"/>
      <c r="B69" s="41"/>
      <c r="C69" s="42"/>
      <c r="D69" s="57"/>
      <c r="E69" s="41"/>
      <c r="F69" s="50"/>
      <c r="G69" s="57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34"/>
      <c r="EJ69" s="64"/>
      <c r="EK69" s="6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</row>
    <row r="70" spans="1:244" s="233" customFormat="1" ht="16.5">
      <c r="A70" s="34"/>
      <c r="B70" s="41">
        <f>+B63+1</f>
        <v>2</v>
      </c>
      <c r="C70" s="49" t="s">
        <v>267</v>
      </c>
      <c r="D70" s="57"/>
      <c r="E70" s="41"/>
      <c r="F70" s="51">
        <f>E72+E76</f>
        <v>3</v>
      </c>
      <c r="G70" s="57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34"/>
      <c r="EJ70" s="57"/>
      <c r="EK70" s="6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</row>
    <row r="71" spans="1:244" s="233" customFormat="1" ht="16.5">
      <c r="A71" s="34"/>
      <c r="B71" s="41"/>
      <c r="C71" s="42"/>
      <c r="D71" s="57"/>
      <c r="E71" s="41"/>
      <c r="F71" s="50"/>
      <c r="G71" s="57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34"/>
      <c r="EJ71" s="57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</row>
    <row r="72" spans="1:244" s="233" customFormat="1" ht="16.5">
      <c r="A72" s="34"/>
      <c r="B72" s="41"/>
      <c r="C72" s="52" t="s">
        <v>198</v>
      </c>
      <c r="D72" s="57" t="s">
        <v>287</v>
      </c>
      <c r="E72" s="41">
        <v>2.7</v>
      </c>
      <c r="F72" s="50"/>
      <c r="G72" s="57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</row>
    <row r="73" spans="1:244" s="233" customFormat="1" ht="16.5">
      <c r="A73" s="34"/>
      <c r="B73" s="41"/>
      <c r="C73" s="52"/>
      <c r="D73" s="57" t="s">
        <v>297</v>
      </c>
      <c r="E73" s="41"/>
      <c r="F73" s="50"/>
      <c r="G73" s="57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</row>
    <row r="74" spans="1:244" s="233" customFormat="1" ht="16.5">
      <c r="A74" s="34"/>
      <c r="B74" s="41"/>
      <c r="C74" s="52" t="s">
        <v>246</v>
      </c>
      <c r="D74" s="57" t="s">
        <v>306</v>
      </c>
      <c r="E74" s="41"/>
      <c r="F74" s="50"/>
      <c r="G74" s="57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275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</row>
    <row r="75" spans="1:244" s="233" customFormat="1" ht="16.5">
      <c r="A75" s="34"/>
      <c r="B75" s="41"/>
      <c r="C75" s="52" t="s">
        <v>312</v>
      </c>
      <c r="D75" s="57" t="s">
        <v>313</v>
      </c>
      <c r="E75" s="41"/>
      <c r="F75" s="50"/>
      <c r="G75" s="57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260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</row>
    <row r="76" spans="1:244" s="233" customFormat="1" ht="16.5">
      <c r="A76" s="34"/>
      <c r="B76" s="41"/>
      <c r="C76" s="52" t="s">
        <v>319</v>
      </c>
      <c r="D76" s="57" t="s">
        <v>320</v>
      </c>
      <c r="E76" s="41">
        <f>0.15+0.15</f>
        <v>0.3</v>
      </c>
      <c r="F76" s="50"/>
      <c r="G76" s="57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</row>
    <row r="77" spans="1:244" s="233" customFormat="1" ht="16.5">
      <c r="A77" s="34"/>
      <c r="B77" s="41"/>
      <c r="C77" s="52"/>
      <c r="D77" s="57" t="s">
        <v>328</v>
      </c>
      <c r="E77" s="41"/>
      <c r="F77" s="50"/>
      <c r="G77" s="57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</row>
    <row r="78" spans="1:244" s="233" customFormat="1" ht="16.5">
      <c r="A78" s="34"/>
      <c r="B78" s="41"/>
      <c r="C78" s="52"/>
      <c r="D78" s="57" t="s">
        <v>337</v>
      </c>
      <c r="E78" s="41" t="s">
        <v>0</v>
      </c>
      <c r="F78" s="50"/>
      <c r="G78" s="57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</row>
    <row r="79" spans="1:244" s="233" customFormat="1" ht="16.5">
      <c r="A79" s="34"/>
      <c r="B79" s="41"/>
      <c r="C79" s="52" t="s">
        <v>343</v>
      </c>
      <c r="D79" s="57" t="s">
        <v>351</v>
      </c>
      <c r="E79" s="41"/>
      <c r="F79" s="50"/>
      <c r="G79" s="57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</row>
    <row r="80" spans="1:244" s="233" customFormat="1" ht="16.5">
      <c r="A80" s="34"/>
      <c r="B80" s="41"/>
      <c r="C80" s="52"/>
      <c r="D80" s="57"/>
      <c r="E80" s="41"/>
      <c r="F80" s="41"/>
      <c r="G80" s="57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</row>
    <row r="81" spans="1:244" s="233" customFormat="1" ht="16.5">
      <c r="A81" s="34"/>
      <c r="B81" s="41"/>
      <c r="C81" s="42"/>
      <c r="D81" s="57"/>
      <c r="E81" s="41"/>
      <c r="F81" s="50"/>
      <c r="G81" s="57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</row>
    <row r="82" spans="1:244" s="233" customFormat="1" ht="16.5">
      <c r="A82" s="34"/>
      <c r="B82" s="41">
        <f>+B70+1</f>
        <v>3</v>
      </c>
      <c r="C82" s="49" t="s">
        <v>236</v>
      </c>
      <c r="D82" s="57"/>
      <c r="E82" s="41"/>
      <c r="F82" s="50">
        <v>8</v>
      </c>
      <c r="G82" s="57" t="s"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260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</row>
    <row r="83" spans="1:244" s="233" customFormat="1" ht="16.5">
      <c r="A83" s="34"/>
      <c r="B83" s="41"/>
      <c r="C83" s="42"/>
      <c r="D83" s="57"/>
      <c r="E83" s="41"/>
      <c r="F83" s="50"/>
      <c r="G83" s="57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260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</row>
    <row r="84" spans="1:244" s="233" customFormat="1" ht="16.5">
      <c r="A84" s="34"/>
      <c r="B84" s="41"/>
      <c r="C84" s="52" t="s">
        <v>384</v>
      </c>
      <c r="D84" s="59" t="s">
        <v>282</v>
      </c>
      <c r="E84" s="60"/>
      <c r="F84" s="50"/>
      <c r="G84" s="57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260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</row>
    <row r="85" spans="1:244" s="233" customFormat="1" ht="16.5" customHeight="1">
      <c r="A85" s="34"/>
      <c r="B85" s="41"/>
      <c r="C85" s="52"/>
      <c r="D85" s="55" t="s">
        <v>389</v>
      </c>
      <c r="E85" s="345"/>
      <c r="F85" s="51"/>
      <c r="G85" s="57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260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</row>
    <row r="86" spans="1:244" s="233" customFormat="1" ht="16.5" customHeight="1">
      <c r="A86" s="34"/>
      <c r="B86" s="41"/>
      <c r="C86" s="52"/>
      <c r="D86" s="57" t="s">
        <v>394</v>
      </c>
      <c r="E86" s="41"/>
      <c r="F86" s="51"/>
      <c r="G86" s="57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260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</row>
    <row r="87" spans="1:244" s="233" customFormat="1" ht="16.5" customHeight="1">
      <c r="A87" s="34"/>
      <c r="B87" s="41"/>
      <c r="C87" s="52"/>
      <c r="D87" s="55" t="s">
        <v>612</v>
      </c>
      <c r="E87" s="345"/>
      <c r="F87" s="51"/>
      <c r="G87" s="57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260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</row>
    <row r="88" spans="1:244" s="233" customFormat="1" ht="16.5">
      <c r="A88" s="34"/>
      <c r="B88" s="41"/>
      <c r="C88" s="52"/>
      <c r="D88" s="55" t="s">
        <v>406</v>
      </c>
      <c r="E88" s="345"/>
      <c r="F88" s="61"/>
      <c r="G88" s="57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275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</row>
    <row r="89" spans="1:244" s="233" customFormat="1" ht="16.5">
      <c r="A89" s="34"/>
      <c r="B89" s="41"/>
      <c r="C89" s="52"/>
      <c r="D89" s="57"/>
      <c r="E89" s="41"/>
      <c r="F89" s="50"/>
      <c r="G89" s="64" t="s">
        <v>0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</row>
    <row r="90" spans="1:244" s="233" customFormat="1" ht="16.5">
      <c r="A90" s="34"/>
      <c r="B90" s="41"/>
      <c r="C90" s="52" t="s">
        <v>423</v>
      </c>
      <c r="D90" s="59" t="s">
        <v>122</v>
      </c>
      <c r="E90" s="60"/>
      <c r="F90" s="50"/>
      <c r="G90" s="57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260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81"/>
      <c r="II90" s="81"/>
      <c r="IJ90" s="81"/>
    </row>
    <row r="91" spans="1:244" s="233" customFormat="1" ht="16.5">
      <c r="A91" s="34"/>
      <c r="B91" s="41"/>
      <c r="C91" s="42"/>
      <c r="D91" s="57" t="s">
        <v>428</v>
      </c>
      <c r="E91" s="41"/>
      <c r="F91" s="50"/>
      <c r="G91" s="64" t="s">
        <v>0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260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</row>
    <row r="92" spans="1:244" s="233" customFormat="1" ht="16.5">
      <c r="A92" s="34"/>
      <c r="B92" s="41"/>
      <c r="C92" s="42"/>
      <c r="D92" s="57" t="s">
        <v>432</v>
      </c>
      <c r="E92" s="41"/>
      <c r="F92" s="50"/>
      <c r="G92" s="6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260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  <c r="IG92" s="81"/>
      <c r="IH92" s="81"/>
      <c r="II92" s="81"/>
      <c r="IJ92" s="81"/>
    </row>
    <row r="93" spans="1:244" s="233" customFormat="1" ht="16.5">
      <c r="A93" s="34"/>
      <c r="B93" s="41"/>
      <c r="C93" s="42"/>
      <c r="D93" s="55" t="s">
        <v>436</v>
      </c>
      <c r="E93" s="56"/>
      <c r="F93" s="51" t="s">
        <v>0</v>
      </c>
      <c r="G93" s="6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260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</row>
    <row r="94" spans="1:244" s="233" customFormat="1" ht="16.5">
      <c r="A94" s="34"/>
      <c r="B94" s="41"/>
      <c r="C94" s="42"/>
      <c r="D94" s="57"/>
      <c r="E94" s="41"/>
      <c r="F94" s="50"/>
      <c r="G94" s="6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260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</row>
    <row r="95" spans="1:244" s="233" customFormat="1" ht="16.5">
      <c r="A95" s="34"/>
      <c r="B95" s="41"/>
      <c r="C95" s="52" t="s">
        <v>441</v>
      </c>
      <c r="D95" s="57" t="s">
        <v>442</v>
      </c>
      <c r="E95" s="41"/>
      <c r="F95" s="50"/>
      <c r="G95" s="64" t="s">
        <v>0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260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81"/>
      <c r="II95" s="81"/>
      <c r="IJ95" s="81"/>
    </row>
    <row r="96" spans="1:244" s="233" customFormat="1" ht="16.5">
      <c r="A96" s="34"/>
      <c r="B96" s="41"/>
      <c r="C96" s="52"/>
      <c r="D96" s="57"/>
      <c r="E96" s="41"/>
      <c r="F96" s="50"/>
      <c r="G96" s="6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260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81"/>
      <c r="II96" s="81"/>
      <c r="IJ96" s="81"/>
    </row>
    <row r="97" spans="1:244" s="233" customFormat="1" ht="16.5">
      <c r="A97" s="34"/>
      <c r="B97" s="41"/>
      <c r="C97" s="52"/>
      <c r="D97" s="57"/>
      <c r="E97" s="41"/>
      <c r="F97" s="50"/>
      <c r="G97" s="64" t="s">
        <v>0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260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</row>
    <row r="98" spans="1:244" s="233" customFormat="1" ht="16.5">
      <c r="A98" s="34"/>
      <c r="B98" s="41"/>
      <c r="C98" s="52"/>
      <c r="D98" s="57"/>
      <c r="E98" s="41"/>
      <c r="F98" s="50"/>
      <c r="G98" s="64" t="s">
        <v>0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260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81"/>
      <c r="II98" s="81"/>
      <c r="IJ98" s="81"/>
    </row>
    <row r="99" spans="1:244" s="233" customFormat="1" ht="16.5">
      <c r="A99" s="34"/>
      <c r="B99" s="41"/>
      <c r="C99" s="52"/>
      <c r="D99" s="57"/>
      <c r="E99" s="41"/>
      <c r="F99" s="50"/>
      <c r="G99" s="64" t="s">
        <v>0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260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</row>
    <row r="100" spans="1:244" s="233" customFormat="1" ht="16.5">
      <c r="A100" s="34"/>
      <c r="B100" s="41"/>
      <c r="C100" s="52"/>
      <c r="D100" s="57"/>
      <c r="E100" s="41"/>
      <c r="F100" s="50"/>
      <c r="G100" s="64" t="s">
        <v>0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260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</row>
    <row r="101" spans="1:244" s="233" customFormat="1" ht="16.5">
      <c r="A101" s="34"/>
      <c r="B101" s="41"/>
      <c r="C101" s="52" t="s">
        <v>450</v>
      </c>
      <c r="D101" s="57" t="s">
        <v>451</v>
      </c>
      <c r="E101" s="41"/>
      <c r="F101" s="50"/>
      <c r="G101" s="64" t="s">
        <v>0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260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</row>
    <row r="102" spans="1:244" s="233" customFormat="1" ht="16.5">
      <c r="A102" s="34"/>
      <c r="B102" s="41"/>
      <c r="C102" s="52"/>
      <c r="D102" s="57" t="s">
        <v>454</v>
      </c>
      <c r="E102" s="41"/>
      <c r="F102" s="51"/>
      <c r="G102" s="34" t="s">
        <v>0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81"/>
      <c r="R102" s="81"/>
      <c r="S102" s="81"/>
      <c r="T102" s="81"/>
      <c r="U102" s="81"/>
      <c r="V102" s="81"/>
      <c r="W102" s="81"/>
      <c r="X102" s="81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275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</row>
    <row r="103" spans="1:244" s="233" customFormat="1" ht="16.5">
      <c r="A103" s="34"/>
      <c r="B103" s="45"/>
      <c r="C103" s="46"/>
      <c r="D103" s="62"/>
      <c r="E103" s="45"/>
      <c r="F103" s="45"/>
      <c r="G103" s="260" t="s">
        <v>0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81"/>
      <c r="R103" s="81"/>
      <c r="S103" s="81"/>
      <c r="T103" s="81"/>
      <c r="U103" s="81"/>
      <c r="V103" s="81"/>
      <c r="W103" s="81"/>
      <c r="X103" s="81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260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</row>
    <row r="104" spans="1:244" s="233" customFormat="1" ht="16.5">
      <c r="A104" s="34"/>
      <c r="B104" s="57"/>
      <c r="C104" s="57"/>
      <c r="D104" s="57"/>
      <c r="E104" s="57"/>
      <c r="F104" s="6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81"/>
      <c r="R104" s="81"/>
      <c r="S104" s="81"/>
      <c r="T104" s="81"/>
      <c r="U104" s="81"/>
      <c r="V104" s="81"/>
      <c r="W104" s="81"/>
      <c r="X104" s="81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</row>
    <row r="105" spans="1:244" s="233" customFormat="1" ht="16.5">
      <c r="A105" s="34"/>
      <c r="B105" s="57"/>
      <c r="C105" s="57"/>
      <c r="D105" s="57"/>
      <c r="E105" s="57"/>
      <c r="F105" s="64"/>
      <c r="G105" s="116" t="s">
        <v>0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81"/>
      <c r="R105" s="81"/>
      <c r="S105" s="81"/>
      <c r="T105" s="81"/>
      <c r="U105" s="81"/>
      <c r="V105" s="81"/>
      <c r="W105" s="81"/>
      <c r="X105" s="81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</row>
    <row r="106" spans="1:244" s="233" customFormat="1" ht="16.5">
      <c r="A106" s="34"/>
      <c r="B106" s="57"/>
      <c r="C106" s="57"/>
      <c r="D106" s="57"/>
      <c r="E106" s="57"/>
      <c r="F106" s="64"/>
      <c r="G106" s="325"/>
      <c r="H106" s="34"/>
      <c r="I106" s="34"/>
      <c r="J106" s="34"/>
      <c r="K106" s="34"/>
      <c r="L106" s="34"/>
      <c r="M106" s="34"/>
      <c r="N106" s="34"/>
      <c r="O106" s="34"/>
      <c r="P106" s="34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</row>
    <row r="107" spans="1:244" s="233" customFormat="1" ht="16.5">
      <c r="A107" s="34"/>
      <c r="B107" s="506"/>
      <c r="C107" s="504"/>
      <c r="D107" s="504"/>
      <c r="E107" s="504"/>
      <c r="F107" s="504"/>
      <c r="G107" s="116"/>
      <c r="H107" s="34"/>
      <c r="I107" s="34"/>
      <c r="J107" s="34"/>
      <c r="K107" s="34"/>
      <c r="L107" s="34"/>
      <c r="M107" s="34"/>
      <c r="N107" s="34"/>
      <c r="O107" s="34"/>
      <c r="P107" s="34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81"/>
      <c r="II107" s="81"/>
      <c r="IJ107" s="81"/>
    </row>
    <row r="108" spans="1:244" s="233" customFormat="1" ht="16.5">
      <c r="A108" s="34"/>
      <c r="B108" s="57"/>
      <c r="C108" s="57"/>
      <c r="D108" s="57"/>
      <c r="E108" s="57"/>
      <c r="F108" s="6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</row>
    <row r="109" spans="1:244" s="233" customFormat="1" ht="16.5">
      <c r="A109" s="34"/>
      <c r="B109" s="36">
        <f>+B82+1</f>
        <v>4</v>
      </c>
      <c r="C109" s="65" t="s">
        <v>461</v>
      </c>
      <c r="D109" s="66"/>
      <c r="E109" s="66"/>
      <c r="F109" s="67"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</row>
    <row r="110" spans="1:244" s="233" customFormat="1" ht="16.5">
      <c r="A110" s="34"/>
      <c r="B110" s="41"/>
      <c r="C110" s="49" t="s">
        <v>464</v>
      </c>
      <c r="D110" s="68"/>
      <c r="E110" s="68"/>
      <c r="F110" s="50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264"/>
      <c r="DT110" s="264"/>
      <c r="DU110" s="264"/>
      <c r="DV110" s="264"/>
      <c r="DW110" s="264"/>
      <c r="DX110" s="26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</row>
    <row r="111" spans="1:244" s="233" customFormat="1" ht="16.5">
      <c r="A111" s="34"/>
      <c r="B111" s="41"/>
      <c r="C111" s="49" t="s">
        <v>466</v>
      </c>
      <c r="D111" s="68"/>
      <c r="E111" s="68"/>
      <c r="F111" s="50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280"/>
      <c r="R111" s="280"/>
      <c r="S111" s="280"/>
      <c r="T111" s="280"/>
      <c r="U111" s="280"/>
      <c r="V111" s="280"/>
      <c r="W111" s="280"/>
      <c r="X111" s="280"/>
      <c r="Y111" s="81"/>
      <c r="Z111" s="81"/>
      <c r="AA111" s="81"/>
      <c r="AB111" s="81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57"/>
      <c r="DT111" s="57"/>
      <c r="DU111" s="57"/>
      <c r="DV111" s="57"/>
      <c r="DW111" s="57"/>
      <c r="DX111" s="57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</row>
    <row r="112" spans="1:244" s="233" customFormat="1" ht="16.5">
      <c r="A112" s="34"/>
      <c r="B112" s="41"/>
      <c r="C112" s="42"/>
      <c r="D112" s="43"/>
      <c r="E112" s="43"/>
      <c r="F112" s="50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280"/>
      <c r="R112" s="280"/>
      <c r="S112" s="280"/>
      <c r="T112" s="280"/>
      <c r="U112" s="280"/>
      <c r="V112" s="280"/>
      <c r="W112" s="280"/>
      <c r="X112" s="280"/>
      <c r="Y112" s="81"/>
      <c r="Z112" s="81"/>
      <c r="AA112" s="81"/>
      <c r="AB112" s="81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57"/>
      <c r="DT112" s="57"/>
      <c r="DU112" s="57"/>
      <c r="DV112" s="57"/>
      <c r="DW112" s="57"/>
      <c r="DX112" s="57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</row>
    <row r="113" spans="1:244" s="233" customFormat="1" ht="16.5">
      <c r="A113" s="34"/>
      <c r="B113" s="41">
        <f>+B109+1</f>
        <v>5</v>
      </c>
      <c r="C113" s="49" t="s">
        <v>471</v>
      </c>
      <c r="D113" s="69"/>
      <c r="E113" s="69"/>
      <c r="F113" s="51">
        <v>1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280"/>
      <c r="R113" s="280"/>
      <c r="S113" s="280"/>
      <c r="T113" s="280"/>
      <c r="U113" s="280"/>
      <c r="V113" s="280"/>
      <c r="W113" s="280"/>
      <c r="X113" s="280"/>
      <c r="Y113" s="81"/>
      <c r="Z113" s="81"/>
      <c r="AA113" s="81"/>
      <c r="AB113" s="81"/>
      <c r="AC113" s="34"/>
      <c r="AD113" s="34"/>
      <c r="AE113" s="34"/>
      <c r="AF113" s="34"/>
      <c r="AG113" s="34"/>
      <c r="AH113" s="34"/>
      <c r="AI113" s="34"/>
      <c r="AJ113" s="34"/>
      <c r="AK113" s="34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84"/>
      <c r="DT113" s="84"/>
      <c r="DU113" s="84"/>
      <c r="DV113" s="84"/>
      <c r="DW113" s="84"/>
      <c r="DX113" s="8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</row>
    <row r="114" spans="1:244" s="233" customFormat="1" ht="16.5">
      <c r="A114" s="34"/>
      <c r="B114" s="41"/>
      <c r="C114" s="42"/>
      <c r="D114" s="43"/>
      <c r="E114" s="43"/>
      <c r="F114" s="50"/>
      <c r="G114" s="34"/>
      <c r="H114" s="81"/>
      <c r="I114" s="81"/>
      <c r="J114" s="81"/>
      <c r="K114" s="81"/>
      <c r="L114" s="81"/>
      <c r="M114" s="81"/>
      <c r="N114" s="81"/>
      <c r="O114" s="34"/>
      <c r="P114" s="34"/>
      <c r="Q114" s="280"/>
      <c r="R114" s="280"/>
      <c r="S114" s="280"/>
      <c r="T114" s="280"/>
      <c r="U114" s="280"/>
      <c r="V114" s="280"/>
      <c r="W114" s="280"/>
      <c r="X114" s="280"/>
      <c r="Y114" s="81"/>
      <c r="Z114" s="81"/>
      <c r="AA114" s="81"/>
      <c r="AB114" s="81"/>
      <c r="AC114" s="34"/>
      <c r="AD114" s="34"/>
      <c r="AE114" s="34"/>
      <c r="AF114" s="34"/>
      <c r="AG114" s="34"/>
      <c r="AH114" s="34"/>
      <c r="AI114" s="34"/>
      <c r="AJ114" s="34"/>
      <c r="AK114" s="34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34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84"/>
      <c r="DT114" s="84"/>
      <c r="DU114" s="84"/>
      <c r="DV114" s="327"/>
      <c r="DW114" s="84"/>
      <c r="DX114" s="8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</row>
    <row r="115" spans="1:244" s="233" customFormat="1" ht="16.5">
      <c r="A115" s="34"/>
      <c r="B115" s="41"/>
      <c r="C115" s="52" t="s">
        <v>198</v>
      </c>
      <c r="D115" s="53" t="s">
        <v>476</v>
      </c>
      <c r="E115" s="53"/>
      <c r="F115" s="50"/>
      <c r="G115" s="260"/>
      <c r="H115" s="81"/>
      <c r="I115" s="81"/>
      <c r="J115" s="81"/>
      <c r="K115" s="81"/>
      <c r="L115" s="81"/>
      <c r="M115" s="81"/>
      <c r="N115" s="81"/>
      <c r="O115" s="34"/>
      <c r="P115" s="34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34"/>
      <c r="AD115" s="34"/>
      <c r="AE115" s="34"/>
      <c r="AF115" s="34"/>
      <c r="AG115" s="34"/>
      <c r="AH115" s="34"/>
      <c r="AI115" s="34"/>
      <c r="AJ115" s="34"/>
      <c r="AK115" s="34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34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84"/>
      <c r="DT115" s="84"/>
      <c r="DU115" s="84"/>
      <c r="DV115" s="84"/>
      <c r="DW115" s="84"/>
      <c r="DX115" s="8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</row>
    <row r="116" spans="1:244" s="233" customFormat="1" ht="16.5">
      <c r="A116" s="34"/>
      <c r="B116" s="41"/>
      <c r="C116" s="52" t="s">
        <v>246</v>
      </c>
      <c r="D116" s="43" t="s">
        <v>478</v>
      </c>
      <c r="E116" s="43"/>
      <c r="F116" s="50"/>
      <c r="G116" s="34"/>
      <c r="H116" s="81"/>
      <c r="I116" s="81"/>
      <c r="J116" s="81"/>
      <c r="K116" s="81"/>
      <c r="L116" s="81"/>
      <c r="M116" s="81"/>
      <c r="N116" s="81"/>
      <c r="O116" s="34"/>
      <c r="P116" s="34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34"/>
      <c r="AD116" s="34"/>
      <c r="AE116" s="81"/>
      <c r="AF116" s="81"/>
      <c r="AG116" s="81"/>
      <c r="AH116" s="81"/>
      <c r="AI116" s="81"/>
      <c r="AJ116" s="34"/>
      <c r="AK116" s="34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34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81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84"/>
      <c r="DT116" s="84"/>
      <c r="DU116" s="291"/>
      <c r="DV116" s="291"/>
      <c r="DW116" s="291"/>
      <c r="DX116" s="291"/>
      <c r="DY116" s="264"/>
      <c r="DZ116" s="264"/>
      <c r="EA116" s="264"/>
      <c r="EB116" s="264"/>
      <c r="EC116" s="264"/>
      <c r="ED116" s="264"/>
      <c r="EE116" s="264"/>
      <c r="EF116" s="264"/>
      <c r="EG116" s="264"/>
      <c r="EH116" s="26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</row>
    <row r="117" spans="1:244" s="233" customFormat="1" ht="16.5">
      <c r="A117" s="34"/>
      <c r="B117" s="41"/>
      <c r="C117" s="52" t="s">
        <v>312</v>
      </c>
      <c r="D117" s="43" t="s">
        <v>479</v>
      </c>
      <c r="E117" s="43"/>
      <c r="F117" s="50"/>
      <c r="G117" s="34"/>
      <c r="H117" s="81"/>
      <c r="I117" s="81"/>
      <c r="J117" s="81"/>
      <c r="K117" s="81"/>
      <c r="L117" s="81"/>
      <c r="M117" s="81"/>
      <c r="N117" s="81"/>
      <c r="O117" s="34"/>
      <c r="P117" s="34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34"/>
      <c r="AD117" s="34"/>
      <c r="AE117" s="81"/>
      <c r="AF117" s="81"/>
      <c r="AG117" s="81"/>
      <c r="AH117" s="81"/>
      <c r="AI117" s="81"/>
      <c r="AJ117" s="34"/>
      <c r="AK117" s="34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34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81"/>
      <c r="CC117" s="34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84"/>
      <c r="DT117" s="84"/>
      <c r="DU117" s="291"/>
      <c r="DV117" s="291"/>
      <c r="DW117" s="291"/>
      <c r="DX117" s="291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81"/>
      <c r="HQ117" s="81"/>
      <c r="HR117" s="81"/>
      <c r="HS117" s="81"/>
      <c r="HT117" s="81"/>
      <c r="HU117" s="34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</row>
    <row r="118" spans="1:244" s="233" customFormat="1" ht="16.5">
      <c r="A118" s="34"/>
      <c r="B118" s="41"/>
      <c r="C118" s="52"/>
      <c r="D118" s="43" t="s">
        <v>482</v>
      </c>
      <c r="E118" s="43"/>
      <c r="F118" s="50"/>
      <c r="G118" s="260" t="s">
        <v>0</v>
      </c>
      <c r="H118" s="81"/>
      <c r="I118" s="81"/>
      <c r="J118" s="81"/>
      <c r="K118" s="81"/>
      <c r="L118" s="81"/>
      <c r="M118" s="81"/>
      <c r="N118" s="81"/>
      <c r="O118" s="34"/>
      <c r="P118" s="34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34"/>
      <c r="AD118" s="34"/>
      <c r="AE118" s="81"/>
      <c r="AF118" s="81"/>
      <c r="AG118" s="81"/>
      <c r="AH118" s="81"/>
      <c r="AI118" s="81"/>
      <c r="AJ118" s="34"/>
      <c r="AK118" s="34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34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34"/>
      <c r="BI118" s="34"/>
      <c r="BJ118" s="34"/>
      <c r="BK118" s="34"/>
      <c r="BL118" s="34"/>
      <c r="BM118" s="34"/>
      <c r="BN118" s="34"/>
      <c r="BO118" s="34"/>
      <c r="BP118" s="34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34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84"/>
      <c r="DT118" s="84"/>
      <c r="DU118" s="291"/>
      <c r="DV118" s="291"/>
      <c r="DW118" s="291"/>
      <c r="DX118" s="291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34"/>
      <c r="EJ118" s="34"/>
      <c r="EK118" s="34"/>
      <c r="EL118" s="34"/>
      <c r="EM118" s="34"/>
      <c r="EN118" s="34"/>
      <c r="EO118" s="34"/>
      <c r="EP118" s="81"/>
      <c r="EQ118" s="81"/>
      <c r="ER118" s="81"/>
      <c r="ES118" s="81"/>
      <c r="ET118" s="81"/>
      <c r="EU118" s="81"/>
      <c r="EV118" s="81"/>
      <c r="EW118" s="81"/>
      <c r="EX118" s="81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81"/>
      <c r="HK118" s="81"/>
      <c r="HL118" s="81"/>
      <c r="HM118" s="81"/>
      <c r="HN118" s="34"/>
      <c r="HO118" s="34"/>
      <c r="HP118" s="81"/>
      <c r="HQ118" s="81"/>
      <c r="HR118" s="81"/>
      <c r="HS118" s="81"/>
      <c r="HT118" s="81"/>
      <c r="HU118" s="34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</row>
    <row r="119" spans="1:244" s="233" customFormat="1" ht="16.5">
      <c r="A119" s="81"/>
      <c r="B119" s="41"/>
      <c r="C119" s="52"/>
      <c r="D119" s="43" t="s">
        <v>483</v>
      </c>
      <c r="E119" s="43"/>
      <c r="F119" s="50"/>
      <c r="G119" s="326"/>
      <c r="H119" s="81"/>
      <c r="I119" s="81"/>
      <c r="J119" s="81"/>
      <c r="K119" s="81"/>
      <c r="L119" s="81"/>
      <c r="M119" s="81"/>
      <c r="N119" s="81"/>
      <c r="O119" s="81"/>
      <c r="P119" s="81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34"/>
      <c r="BJ119" s="34"/>
      <c r="BK119" s="34"/>
      <c r="BL119" s="34"/>
      <c r="BM119" s="34"/>
      <c r="BN119" s="34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4"/>
      <c r="DT119" s="84"/>
      <c r="DU119" s="291"/>
      <c r="DV119" s="291"/>
      <c r="DW119" s="291"/>
      <c r="DX119" s="291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</row>
    <row r="120" spans="1:244" s="233" customFormat="1" ht="16.5">
      <c r="A120" s="81"/>
      <c r="B120" s="41"/>
      <c r="C120" s="52" t="s">
        <v>487</v>
      </c>
      <c r="D120" s="43" t="s">
        <v>488</v>
      </c>
      <c r="E120" s="43"/>
      <c r="F120" s="50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34"/>
      <c r="BJ120" s="34"/>
      <c r="BK120" s="34"/>
      <c r="BL120" s="34"/>
      <c r="BM120" s="34"/>
      <c r="BN120" s="34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4"/>
      <c r="DT120" s="84"/>
      <c r="DU120" s="291"/>
      <c r="DV120" s="291"/>
      <c r="DW120" s="291"/>
      <c r="DX120" s="291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</row>
    <row r="121" spans="1:244" s="233" customFormat="1" ht="16.5">
      <c r="A121" s="81"/>
      <c r="B121" s="41"/>
      <c r="C121" s="52"/>
      <c r="D121" s="43" t="s">
        <v>494</v>
      </c>
      <c r="E121" s="43"/>
      <c r="F121" s="50"/>
      <c r="G121" s="89"/>
      <c r="H121" s="81"/>
      <c r="I121" s="89"/>
      <c r="J121" s="81"/>
      <c r="K121" s="81"/>
      <c r="L121" s="81"/>
      <c r="M121" s="81"/>
      <c r="N121" s="81"/>
      <c r="O121" s="81"/>
      <c r="P121" s="81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34"/>
      <c r="BJ121" s="34"/>
      <c r="BK121" s="34"/>
      <c r="BL121" s="34"/>
      <c r="BM121" s="34"/>
      <c r="BN121" s="34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320"/>
      <c r="DT121" s="320"/>
      <c r="DU121" s="321"/>
      <c r="DV121" s="321"/>
      <c r="DW121" s="328"/>
      <c r="DX121" s="321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</row>
    <row r="122" spans="1:244" s="233" customFormat="1" ht="16.5">
      <c r="A122" s="81"/>
      <c r="B122" s="41"/>
      <c r="C122" s="52"/>
      <c r="D122" s="43" t="s">
        <v>496</v>
      </c>
      <c r="E122" s="43"/>
      <c r="F122" s="50"/>
      <c r="G122" s="89" t="s">
        <v>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34"/>
      <c r="BJ122" s="34"/>
      <c r="BK122" s="34"/>
      <c r="BL122" s="34"/>
      <c r="BM122" s="34"/>
      <c r="BN122" s="34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320"/>
      <c r="DT122" s="320"/>
      <c r="DU122" s="321"/>
      <c r="DV122" s="321"/>
      <c r="DW122" s="321"/>
      <c r="DX122" s="321"/>
      <c r="DY122" s="291"/>
      <c r="DZ122" s="291"/>
      <c r="EA122" s="291"/>
      <c r="EB122" s="291"/>
      <c r="EC122" s="291"/>
      <c r="ED122" s="291"/>
      <c r="EE122" s="291"/>
      <c r="EF122" s="291"/>
      <c r="EG122" s="291"/>
      <c r="EH122" s="29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</row>
    <row r="123" spans="1:244" s="233" customFormat="1" ht="16.5">
      <c r="A123" s="81"/>
      <c r="B123" s="41"/>
      <c r="C123" s="52" t="s">
        <v>319</v>
      </c>
      <c r="D123" s="43" t="s">
        <v>498</v>
      </c>
      <c r="E123" s="43"/>
      <c r="F123" s="50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34"/>
      <c r="BJ123" s="34"/>
      <c r="BK123" s="34"/>
      <c r="BL123" s="34"/>
      <c r="BM123" s="34"/>
      <c r="BN123" s="34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320"/>
      <c r="DT123" s="320"/>
      <c r="DU123" s="321"/>
      <c r="DV123" s="321"/>
      <c r="DW123" s="321"/>
      <c r="DX123" s="321"/>
      <c r="DY123" s="291"/>
      <c r="DZ123" s="291"/>
      <c r="EA123" s="291"/>
      <c r="EB123" s="291"/>
      <c r="EC123" s="291"/>
      <c r="ED123" s="291"/>
      <c r="EE123" s="291"/>
      <c r="EF123" s="291"/>
      <c r="EG123" s="291"/>
      <c r="EH123" s="29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</row>
    <row r="124" spans="1:244" s="233" customFormat="1" ht="16.5">
      <c r="A124" s="81"/>
      <c r="B124" s="41"/>
      <c r="C124" s="52"/>
      <c r="D124" s="43" t="s">
        <v>500</v>
      </c>
      <c r="E124" s="43"/>
      <c r="F124" s="50"/>
      <c r="G124" s="89" t="s">
        <v>0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34"/>
      <c r="BJ124" s="34"/>
      <c r="BK124" s="34"/>
      <c r="BL124" s="34"/>
      <c r="BM124" s="34"/>
      <c r="BN124" s="34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320"/>
      <c r="DT124" s="320"/>
      <c r="DU124" s="321"/>
      <c r="DV124" s="321"/>
      <c r="DW124" s="321"/>
      <c r="DX124" s="321"/>
      <c r="DY124" s="291"/>
      <c r="DZ124" s="291"/>
      <c r="EA124" s="291"/>
      <c r="EB124" s="291"/>
      <c r="EC124" s="291"/>
      <c r="ED124" s="291"/>
      <c r="EE124" s="291"/>
      <c r="EF124" s="291"/>
      <c r="EG124" s="291"/>
      <c r="EH124" s="29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</row>
    <row r="125" spans="1:244" s="233" customFormat="1" ht="16.5">
      <c r="A125" s="81"/>
      <c r="B125" s="41"/>
      <c r="C125" s="52" t="s">
        <v>343</v>
      </c>
      <c r="D125" s="43" t="s">
        <v>501</v>
      </c>
      <c r="E125" s="34"/>
      <c r="F125" s="50"/>
      <c r="G125" s="89" t="s">
        <v>0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81"/>
      <c r="AD125" s="81"/>
      <c r="AE125" s="280"/>
      <c r="AF125" s="280"/>
      <c r="AG125" s="280"/>
      <c r="AH125" s="280"/>
      <c r="AI125" s="280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34"/>
      <c r="BJ125" s="34"/>
      <c r="BK125" s="34"/>
      <c r="BL125" s="34"/>
      <c r="BM125" s="34"/>
      <c r="BN125" s="34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320"/>
      <c r="DT125" s="320"/>
      <c r="DU125" s="321"/>
      <c r="DV125" s="321"/>
      <c r="DW125" s="321"/>
      <c r="DX125" s="321"/>
      <c r="DY125" s="291"/>
      <c r="DZ125" s="291"/>
      <c r="EA125" s="291"/>
      <c r="EB125" s="291"/>
      <c r="EC125" s="291"/>
      <c r="ED125" s="291"/>
      <c r="EE125" s="291"/>
      <c r="EF125" s="291"/>
      <c r="EG125" s="291"/>
      <c r="EH125" s="29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280"/>
      <c r="HQ125" s="280"/>
      <c r="HR125" s="280"/>
      <c r="HS125" s="280"/>
      <c r="HT125" s="280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</row>
    <row r="126" spans="1:244" s="233" customFormat="1" ht="16.5">
      <c r="A126" s="81"/>
      <c r="B126" s="41"/>
      <c r="C126" s="52" t="s">
        <v>350</v>
      </c>
      <c r="D126" s="43" t="s">
        <v>514</v>
      </c>
      <c r="E126" s="57"/>
      <c r="F126" s="41"/>
      <c r="G126" s="89"/>
      <c r="H126" s="81"/>
      <c r="I126" s="81"/>
      <c r="J126" s="81"/>
      <c r="K126" s="81"/>
      <c r="L126" s="81"/>
      <c r="M126" s="81"/>
      <c r="N126" s="81"/>
      <c r="O126" s="81"/>
      <c r="P126" s="81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81"/>
      <c r="AD126" s="81"/>
      <c r="AE126" s="280"/>
      <c r="AF126" s="280"/>
      <c r="AG126" s="280"/>
      <c r="AH126" s="280"/>
      <c r="AI126" s="280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81"/>
      <c r="BH126" s="81"/>
      <c r="BI126" s="34"/>
      <c r="BJ126" s="34"/>
      <c r="BK126" s="34"/>
      <c r="BL126" s="34"/>
      <c r="BM126" s="34"/>
      <c r="BN126" s="34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320"/>
      <c r="DT126" s="320"/>
      <c r="DU126" s="321"/>
      <c r="DV126" s="321"/>
      <c r="DW126" s="328"/>
      <c r="DX126" s="321"/>
      <c r="DY126" s="291"/>
      <c r="DZ126" s="291"/>
      <c r="EA126" s="291"/>
      <c r="EB126" s="291"/>
      <c r="EC126" s="291"/>
      <c r="ED126" s="291"/>
      <c r="EE126" s="291"/>
      <c r="EF126" s="291"/>
      <c r="EG126" s="291"/>
      <c r="EH126" s="291"/>
      <c r="EI126" s="81"/>
      <c r="EJ126" s="81"/>
      <c r="EK126" s="81"/>
      <c r="EL126" s="81"/>
      <c r="EM126" s="81"/>
      <c r="EN126" s="81"/>
      <c r="EO126" s="81"/>
      <c r="EP126" s="280"/>
      <c r="EQ126" s="280"/>
      <c r="ER126" s="280"/>
      <c r="ES126" s="280"/>
      <c r="ET126" s="280"/>
      <c r="EU126" s="280"/>
      <c r="EV126" s="280"/>
      <c r="EW126" s="280"/>
      <c r="EX126" s="280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280"/>
      <c r="HK126" s="280"/>
      <c r="HL126" s="280"/>
      <c r="HM126" s="280"/>
      <c r="HN126" s="81"/>
      <c r="HO126" s="81"/>
      <c r="HP126" s="280"/>
      <c r="HQ126" s="280"/>
      <c r="HR126" s="280"/>
      <c r="HS126" s="280"/>
      <c r="HT126" s="280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</row>
    <row r="127" spans="1:244" s="281" customFormat="1" ht="15.75">
      <c r="A127" s="280"/>
      <c r="B127" s="41"/>
      <c r="C127" s="52"/>
      <c r="D127" s="43"/>
      <c r="E127" s="57"/>
      <c r="F127" s="41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  <c r="BH127" s="280"/>
      <c r="BI127" s="34"/>
      <c r="BJ127" s="34"/>
      <c r="BK127" s="34"/>
      <c r="BL127" s="34"/>
      <c r="BM127" s="34"/>
      <c r="BN127" s="34"/>
      <c r="BO127" s="280"/>
      <c r="BP127" s="280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280"/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0"/>
      <c r="CN127" s="280"/>
      <c r="CO127" s="280"/>
      <c r="CP127" s="280"/>
      <c r="CQ127" s="280"/>
      <c r="CR127" s="280"/>
      <c r="CS127" s="280"/>
      <c r="CT127" s="280"/>
      <c r="CU127" s="280"/>
      <c r="CV127" s="280"/>
      <c r="CW127" s="280"/>
      <c r="CX127" s="280"/>
      <c r="CY127" s="280"/>
      <c r="CZ127" s="280"/>
      <c r="DA127" s="280"/>
      <c r="DB127" s="280"/>
      <c r="DC127" s="280"/>
      <c r="DD127" s="280"/>
      <c r="DE127" s="280"/>
      <c r="DF127" s="280"/>
      <c r="DG127" s="280"/>
      <c r="DH127" s="280"/>
      <c r="DI127" s="280"/>
      <c r="DJ127" s="280"/>
      <c r="DK127" s="280"/>
      <c r="DL127" s="280"/>
      <c r="DM127" s="280"/>
      <c r="DN127" s="280"/>
      <c r="DO127" s="280"/>
      <c r="DP127" s="280"/>
      <c r="DQ127" s="280"/>
      <c r="DR127" s="280"/>
      <c r="DS127" s="320"/>
      <c r="DT127" s="320"/>
      <c r="DU127" s="321"/>
      <c r="DV127" s="321"/>
      <c r="DW127" s="321"/>
      <c r="DX127" s="321"/>
      <c r="DY127" s="321"/>
      <c r="DZ127" s="321"/>
      <c r="EA127" s="321"/>
      <c r="EB127" s="321"/>
      <c r="EC127" s="321"/>
      <c r="ED127" s="321"/>
      <c r="EE127" s="321"/>
      <c r="EF127" s="321"/>
      <c r="EG127" s="321"/>
      <c r="EH127" s="321"/>
      <c r="EI127" s="280"/>
      <c r="EJ127" s="280"/>
      <c r="EK127" s="280"/>
      <c r="EL127" s="280"/>
      <c r="EM127" s="280"/>
      <c r="EN127" s="280"/>
      <c r="EO127" s="280"/>
      <c r="EP127" s="280"/>
      <c r="EQ127" s="280"/>
      <c r="ER127" s="280"/>
      <c r="ES127" s="280"/>
      <c r="ET127" s="280"/>
      <c r="EU127" s="280"/>
      <c r="EV127" s="280"/>
      <c r="EW127" s="280"/>
      <c r="EX127" s="280"/>
      <c r="EY127" s="280"/>
      <c r="EZ127" s="280"/>
      <c r="FA127" s="280"/>
      <c r="FB127" s="280"/>
      <c r="FC127" s="280"/>
      <c r="FD127" s="280"/>
      <c r="FE127" s="280"/>
      <c r="FF127" s="280"/>
      <c r="FG127" s="280"/>
      <c r="FH127" s="280"/>
      <c r="FI127" s="280"/>
      <c r="FJ127" s="280"/>
      <c r="FK127" s="280"/>
      <c r="FL127" s="280"/>
      <c r="FM127" s="280"/>
      <c r="FN127" s="280"/>
      <c r="FO127" s="280"/>
      <c r="FP127" s="280"/>
      <c r="FQ127" s="280"/>
      <c r="FR127" s="280"/>
      <c r="FS127" s="280"/>
      <c r="FT127" s="280"/>
      <c r="FU127" s="280"/>
      <c r="FV127" s="280"/>
      <c r="FW127" s="280"/>
      <c r="FX127" s="280"/>
      <c r="FY127" s="280"/>
      <c r="FZ127" s="280"/>
      <c r="GA127" s="280"/>
      <c r="GB127" s="280"/>
      <c r="GC127" s="280"/>
      <c r="GD127" s="280"/>
      <c r="GE127" s="280"/>
      <c r="GF127" s="280"/>
      <c r="GG127" s="280"/>
      <c r="GH127" s="280"/>
      <c r="GI127" s="280"/>
      <c r="GJ127" s="280"/>
      <c r="GK127" s="280"/>
      <c r="GL127" s="280"/>
      <c r="GM127" s="280"/>
      <c r="GN127" s="280"/>
      <c r="GO127" s="280"/>
      <c r="GP127" s="280"/>
      <c r="GQ127" s="280"/>
      <c r="GR127" s="280"/>
      <c r="GS127" s="280"/>
      <c r="GT127" s="280"/>
      <c r="GU127" s="280"/>
      <c r="GV127" s="280"/>
      <c r="GW127" s="280"/>
      <c r="GX127" s="280"/>
      <c r="GY127" s="280"/>
      <c r="GZ127" s="280"/>
      <c r="HA127" s="280"/>
      <c r="HB127" s="280"/>
      <c r="HC127" s="280"/>
      <c r="HD127" s="280"/>
      <c r="HE127" s="280"/>
      <c r="HF127" s="280"/>
      <c r="HG127" s="280"/>
      <c r="HH127" s="280"/>
      <c r="HI127" s="280"/>
      <c r="HJ127" s="280"/>
      <c r="HK127" s="280"/>
      <c r="HL127" s="280"/>
      <c r="HM127" s="280"/>
      <c r="HN127" s="280"/>
      <c r="HO127" s="280"/>
      <c r="HP127" s="280"/>
      <c r="HQ127" s="280"/>
      <c r="HR127" s="280"/>
      <c r="HS127" s="280"/>
      <c r="HT127" s="280"/>
      <c r="HU127" s="280"/>
      <c r="HV127" s="280"/>
      <c r="HW127" s="280"/>
      <c r="HX127" s="280"/>
      <c r="HY127" s="280"/>
      <c r="HZ127" s="280"/>
      <c r="IA127" s="280"/>
      <c r="IB127" s="280"/>
      <c r="IC127" s="280"/>
      <c r="ID127" s="280"/>
      <c r="IE127" s="280"/>
      <c r="IF127" s="280"/>
      <c r="IG127" s="280"/>
      <c r="IH127" s="280"/>
      <c r="II127" s="280"/>
      <c r="IJ127" s="280"/>
    </row>
    <row r="128" spans="1:244" s="281" customFormat="1" ht="15.75">
      <c r="A128" s="280"/>
      <c r="B128" s="41">
        <v>6</v>
      </c>
      <c r="C128" s="70" t="s">
        <v>512</v>
      </c>
      <c r="D128" s="43"/>
      <c r="E128" s="43"/>
      <c r="F128" s="50">
        <f>ROUND(+M23,2)</f>
        <v>2.4</v>
      </c>
      <c r="G128" s="329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280"/>
      <c r="BK128" s="280"/>
      <c r="BL128" s="280"/>
      <c r="BM128" s="280"/>
      <c r="BN128" s="280"/>
      <c r="BO128" s="280"/>
      <c r="BP128" s="280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280"/>
      <c r="CC128" s="280"/>
      <c r="CD128" s="280"/>
      <c r="CE128" s="280"/>
      <c r="CF128" s="280"/>
      <c r="CG128" s="280"/>
      <c r="CH128" s="280"/>
      <c r="CI128" s="280"/>
      <c r="CJ128" s="280"/>
      <c r="CK128" s="280"/>
      <c r="CL128" s="280"/>
      <c r="CM128" s="280"/>
      <c r="CN128" s="280"/>
      <c r="CO128" s="280"/>
      <c r="CP128" s="280"/>
      <c r="CQ128" s="280"/>
      <c r="CR128" s="280"/>
      <c r="CS128" s="280"/>
      <c r="CT128" s="280"/>
      <c r="CU128" s="280"/>
      <c r="CV128" s="280"/>
      <c r="CW128" s="280"/>
      <c r="CX128" s="280"/>
      <c r="CY128" s="280"/>
      <c r="CZ128" s="280"/>
      <c r="DA128" s="280"/>
      <c r="DB128" s="280"/>
      <c r="DC128" s="280"/>
      <c r="DD128" s="280"/>
      <c r="DE128" s="280"/>
      <c r="DF128" s="280"/>
      <c r="DG128" s="280"/>
      <c r="DH128" s="280"/>
      <c r="DI128" s="280"/>
      <c r="DJ128" s="280"/>
      <c r="DK128" s="280"/>
      <c r="DL128" s="280"/>
      <c r="DM128" s="280"/>
      <c r="DN128" s="280"/>
      <c r="DO128" s="280"/>
      <c r="DP128" s="280"/>
      <c r="DQ128" s="280"/>
      <c r="DR128" s="280"/>
      <c r="DS128" s="320"/>
      <c r="DT128" s="320"/>
      <c r="DU128" s="321"/>
      <c r="DV128" s="321"/>
      <c r="DW128" s="321"/>
      <c r="DX128" s="321"/>
      <c r="DY128" s="321"/>
      <c r="DZ128" s="321"/>
      <c r="EA128" s="321"/>
      <c r="EB128" s="321"/>
      <c r="EC128" s="321"/>
      <c r="ED128" s="321"/>
      <c r="EE128" s="321"/>
      <c r="EF128" s="321"/>
      <c r="EG128" s="321"/>
      <c r="EH128" s="321"/>
      <c r="EI128" s="280"/>
      <c r="EJ128" s="280"/>
      <c r="EK128" s="280"/>
      <c r="EL128" s="280"/>
      <c r="EM128" s="280"/>
      <c r="EN128" s="280"/>
      <c r="EO128" s="280"/>
      <c r="EP128" s="280"/>
      <c r="EQ128" s="280"/>
      <c r="ER128" s="280"/>
      <c r="ES128" s="280"/>
      <c r="ET128" s="280"/>
      <c r="EU128" s="280"/>
      <c r="EV128" s="280"/>
      <c r="EW128" s="280"/>
      <c r="EX128" s="280"/>
      <c r="EY128" s="280"/>
      <c r="EZ128" s="280"/>
      <c r="FA128" s="280"/>
      <c r="FB128" s="280"/>
      <c r="FC128" s="280"/>
      <c r="FD128" s="280"/>
      <c r="FE128" s="280"/>
      <c r="FF128" s="280"/>
      <c r="FG128" s="280"/>
      <c r="FH128" s="280"/>
      <c r="FI128" s="280"/>
      <c r="FJ128" s="280"/>
      <c r="FK128" s="280"/>
      <c r="FL128" s="280"/>
      <c r="FM128" s="280"/>
      <c r="FN128" s="280"/>
      <c r="FO128" s="280"/>
      <c r="FP128" s="280"/>
      <c r="FQ128" s="280"/>
      <c r="FR128" s="280"/>
      <c r="FS128" s="280"/>
      <c r="FT128" s="280"/>
      <c r="FU128" s="280"/>
      <c r="FV128" s="280"/>
      <c r="FW128" s="280"/>
      <c r="FX128" s="280"/>
      <c r="FY128" s="280"/>
      <c r="FZ128" s="280"/>
      <c r="GA128" s="280"/>
      <c r="GB128" s="280"/>
      <c r="GC128" s="280"/>
      <c r="GD128" s="280"/>
      <c r="GE128" s="280"/>
      <c r="GF128" s="280"/>
      <c r="GG128" s="280"/>
      <c r="GH128" s="280"/>
      <c r="GI128" s="280"/>
      <c r="GJ128" s="280"/>
      <c r="GK128" s="280"/>
      <c r="GL128" s="280"/>
      <c r="GM128" s="280"/>
      <c r="GN128" s="280"/>
      <c r="GO128" s="280"/>
      <c r="GP128" s="280"/>
      <c r="GQ128" s="280"/>
      <c r="GR128" s="280"/>
      <c r="GS128" s="280"/>
      <c r="GT128" s="280"/>
      <c r="GU128" s="280"/>
      <c r="GV128" s="280"/>
      <c r="GW128" s="280"/>
      <c r="GX128" s="280"/>
      <c r="GY128" s="280"/>
      <c r="GZ128" s="280"/>
      <c r="HA128" s="280"/>
      <c r="HB128" s="280"/>
      <c r="HC128" s="280"/>
      <c r="HD128" s="280"/>
      <c r="HE128" s="280"/>
      <c r="HF128" s="280"/>
      <c r="HG128" s="280"/>
      <c r="HH128" s="280"/>
      <c r="HI128" s="280"/>
      <c r="HJ128" s="280"/>
      <c r="HK128" s="280"/>
      <c r="HL128" s="280"/>
      <c r="HM128" s="280"/>
      <c r="HN128" s="280"/>
      <c r="HO128" s="280"/>
      <c r="HP128" s="280"/>
      <c r="HQ128" s="280"/>
      <c r="HR128" s="280"/>
      <c r="HS128" s="280"/>
      <c r="HT128" s="280"/>
      <c r="HU128" s="280"/>
      <c r="HV128" s="280"/>
      <c r="HW128" s="280"/>
      <c r="HX128" s="280"/>
      <c r="HY128" s="280"/>
      <c r="HZ128" s="280"/>
      <c r="IA128" s="280"/>
      <c r="IB128" s="280"/>
      <c r="IC128" s="280"/>
      <c r="ID128" s="280"/>
      <c r="IE128" s="280"/>
      <c r="IF128" s="280"/>
      <c r="IG128" s="280"/>
      <c r="IH128" s="280"/>
      <c r="II128" s="280"/>
      <c r="IJ128" s="280"/>
    </row>
    <row r="129" spans="1:244" s="281" customFormat="1" ht="15.75">
      <c r="A129" s="280"/>
      <c r="B129" s="41"/>
      <c r="C129" s="52"/>
      <c r="D129" s="43"/>
      <c r="E129" s="43"/>
      <c r="F129" s="5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  <c r="BH129" s="280"/>
      <c r="BI129" s="280"/>
      <c r="BJ129" s="280"/>
      <c r="BK129" s="280"/>
      <c r="BL129" s="280"/>
      <c r="BM129" s="280"/>
      <c r="BN129" s="280"/>
      <c r="BO129" s="280"/>
      <c r="BP129" s="280"/>
      <c r="BQ129" s="280"/>
      <c r="BR129" s="280"/>
      <c r="BS129" s="280"/>
      <c r="BT129" s="280"/>
      <c r="BU129" s="280"/>
      <c r="BV129" s="280"/>
      <c r="BW129" s="280"/>
      <c r="BX129" s="280"/>
      <c r="BY129" s="280"/>
      <c r="BZ129" s="280"/>
      <c r="CA129" s="280"/>
      <c r="CB129" s="280"/>
      <c r="CC129" s="280"/>
      <c r="CD129" s="280"/>
      <c r="CE129" s="280"/>
      <c r="CF129" s="280"/>
      <c r="CG129" s="280"/>
      <c r="CH129" s="280"/>
      <c r="CI129" s="280"/>
      <c r="CJ129" s="280"/>
      <c r="CK129" s="280"/>
      <c r="CL129" s="280"/>
      <c r="CM129" s="280"/>
      <c r="CN129" s="280"/>
      <c r="CO129" s="280"/>
      <c r="CP129" s="280"/>
      <c r="CQ129" s="280"/>
      <c r="CR129" s="280"/>
      <c r="CS129" s="280"/>
      <c r="CT129" s="280"/>
      <c r="CU129" s="280"/>
      <c r="CV129" s="280"/>
      <c r="CW129" s="280"/>
      <c r="CX129" s="280"/>
      <c r="CY129" s="280"/>
      <c r="CZ129" s="280"/>
      <c r="DA129" s="280"/>
      <c r="DB129" s="280"/>
      <c r="DC129" s="280"/>
      <c r="DD129" s="280"/>
      <c r="DE129" s="280"/>
      <c r="DF129" s="280"/>
      <c r="DG129" s="280"/>
      <c r="DH129" s="280"/>
      <c r="DI129" s="280"/>
      <c r="DJ129" s="280"/>
      <c r="DK129" s="280"/>
      <c r="DL129" s="280"/>
      <c r="DM129" s="280"/>
      <c r="DN129" s="280"/>
      <c r="DO129" s="280"/>
      <c r="DP129" s="280"/>
      <c r="DQ129" s="280"/>
      <c r="DR129" s="280"/>
      <c r="DS129" s="320"/>
      <c r="DT129" s="320"/>
      <c r="DU129" s="321"/>
      <c r="DV129" s="321"/>
      <c r="DW129" s="321"/>
      <c r="DX129" s="321"/>
      <c r="DY129" s="321"/>
      <c r="DZ129" s="321"/>
      <c r="EA129" s="321"/>
      <c r="EB129" s="321"/>
      <c r="EC129" s="321"/>
      <c r="ED129" s="321"/>
      <c r="EE129" s="321"/>
      <c r="EF129" s="321"/>
      <c r="EG129" s="321"/>
      <c r="EH129" s="321"/>
      <c r="EI129" s="280"/>
      <c r="EJ129" s="280"/>
      <c r="EK129" s="280"/>
      <c r="EL129" s="280"/>
      <c r="EM129" s="280"/>
      <c r="EN129" s="280"/>
      <c r="EO129" s="280"/>
      <c r="EP129" s="280"/>
      <c r="EQ129" s="280"/>
      <c r="ER129" s="280"/>
      <c r="ES129" s="280"/>
      <c r="ET129" s="280"/>
      <c r="EU129" s="280"/>
      <c r="EV129" s="280"/>
      <c r="EW129" s="280"/>
      <c r="EX129" s="280"/>
      <c r="EY129" s="280"/>
      <c r="EZ129" s="280"/>
      <c r="FA129" s="280"/>
      <c r="FB129" s="280"/>
      <c r="FC129" s="280"/>
      <c r="FD129" s="280"/>
      <c r="FE129" s="280"/>
      <c r="FF129" s="280"/>
      <c r="FG129" s="280"/>
      <c r="FH129" s="280"/>
      <c r="FI129" s="280"/>
      <c r="FJ129" s="280"/>
      <c r="FK129" s="280"/>
      <c r="FL129" s="280"/>
      <c r="FM129" s="280"/>
      <c r="FN129" s="280"/>
      <c r="FO129" s="280"/>
      <c r="FP129" s="280"/>
      <c r="FQ129" s="280"/>
      <c r="FR129" s="280"/>
      <c r="FS129" s="280"/>
      <c r="FT129" s="280"/>
      <c r="FU129" s="280"/>
      <c r="FV129" s="280"/>
      <c r="FW129" s="280"/>
      <c r="FX129" s="280"/>
      <c r="FY129" s="280"/>
      <c r="FZ129" s="280"/>
      <c r="GA129" s="280"/>
      <c r="GB129" s="280"/>
      <c r="GC129" s="280"/>
      <c r="GD129" s="280"/>
      <c r="GE129" s="280"/>
      <c r="GF129" s="280"/>
      <c r="GG129" s="280"/>
      <c r="GH129" s="280"/>
      <c r="GI129" s="280"/>
      <c r="GJ129" s="280"/>
      <c r="GK129" s="280"/>
      <c r="GL129" s="280"/>
      <c r="GM129" s="280"/>
      <c r="GN129" s="280"/>
      <c r="GO129" s="280"/>
      <c r="GP129" s="280"/>
      <c r="GQ129" s="280"/>
      <c r="GR129" s="280"/>
      <c r="GS129" s="280"/>
      <c r="GT129" s="280"/>
      <c r="GU129" s="280"/>
      <c r="GV129" s="280"/>
      <c r="GW129" s="280"/>
      <c r="GX129" s="280"/>
      <c r="GY129" s="280"/>
      <c r="GZ129" s="280"/>
      <c r="HA129" s="280"/>
      <c r="HB129" s="280"/>
      <c r="HC129" s="280"/>
      <c r="HD129" s="280"/>
      <c r="HE129" s="280"/>
      <c r="HF129" s="280"/>
      <c r="HG129" s="280"/>
      <c r="HH129" s="280"/>
      <c r="HI129" s="280"/>
      <c r="HJ129" s="280"/>
      <c r="HK129" s="280"/>
      <c r="HL129" s="280"/>
      <c r="HM129" s="280"/>
      <c r="HN129" s="280"/>
      <c r="HO129" s="280"/>
      <c r="HP129" s="280"/>
      <c r="HQ129" s="280"/>
      <c r="HR129" s="280"/>
      <c r="HS129" s="280"/>
      <c r="HT129" s="280"/>
      <c r="HU129" s="280"/>
      <c r="HV129" s="280"/>
      <c r="HW129" s="280"/>
      <c r="HX129" s="280"/>
      <c r="HY129" s="280"/>
      <c r="HZ129" s="280"/>
      <c r="IA129" s="280"/>
      <c r="IB129" s="280"/>
      <c r="IC129" s="280"/>
      <c r="ID129" s="280"/>
      <c r="IE129" s="280"/>
      <c r="IF129" s="280"/>
      <c r="IG129" s="280"/>
      <c r="IH129" s="280"/>
      <c r="II129" s="280"/>
      <c r="IJ129" s="280"/>
    </row>
    <row r="130" spans="1:244" s="281" customFormat="1" ht="15.75">
      <c r="A130" s="280"/>
      <c r="B130" s="41">
        <v>7</v>
      </c>
      <c r="C130" s="70" t="s">
        <v>534</v>
      </c>
      <c r="D130" s="43"/>
      <c r="E130" s="43"/>
      <c r="F130" s="50">
        <f>+F20</f>
        <v>1</v>
      </c>
      <c r="G130" s="33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  <c r="BH130" s="280"/>
      <c r="BI130" s="280"/>
      <c r="BJ130" s="280"/>
      <c r="BK130" s="280"/>
      <c r="BL130" s="280"/>
      <c r="BM130" s="280"/>
      <c r="BN130" s="280"/>
      <c r="BO130" s="280"/>
      <c r="BP130" s="280"/>
      <c r="BQ130" s="280"/>
      <c r="BR130" s="280"/>
      <c r="BS130" s="280"/>
      <c r="BT130" s="280"/>
      <c r="BU130" s="280"/>
      <c r="BV130" s="280"/>
      <c r="BW130" s="280"/>
      <c r="BX130" s="280"/>
      <c r="BY130" s="280"/>
      <c r="BZ130" s="280"/>
      <c r="CA130" s="280"/>
      <c r="CB130" s="280"/>
      <c r="CC130" s="280"/>
      <c r="CD130" s="280"/>
      <c r="CE130" s="280"/>
      <c r="CF130" s="280"/>
      <c r="CG130" s="280"/>
      <c r="CH130" s="280"/>
      <c r="CI130" s="280"/>
      <c r="CJ130" s="280"/>
      <c r="CK130" s="280"/>
      <c r="CL130" s="280"/>
      <c r="CM130" s="280"/>
      <c r="CN130" s="280"/>
      <c r="CO130" s="280"/>
      <c r="CP130" s="280"/>
      <c r="CQ130" s="280"/>
      <c r="CR130" s="280"/>
      <c r="CS130" s="280"/>
      <c r="CT130" s="280"/>
      <c r="CU130" s="280"/>
      <c r="CV130" s="280"/>
      <c r="CW130" s="280"/>
      <c r="CX130" s="280"/>
      <c r="CY130" s="280"/>
      <c r="CZ130" s="280"/>
      <c r="DA130" s="280"/>
      <c r="DB130" s="280"/>
      <c r="DC130" s="280"/>
      <c r="DD130" s="280"/>
      <c r="DE130" s="280"/>
      <c r="DF130" s="280"/>
      <c r="DG130" s="280"/>
      <c r="DH130" s="280"/>
      <c r="DI130" s="280"/>
      <c r="DJ130" s="280"/>
      <c r="DK130" s="280"/>
      <c r="DL130" s="280"/>
      <c r="DM130" s="280"/>
      <c r="DN130" s="280"/>
      <c r="DO130" s="280"/>
      <c r="DP130" s="280"/>
      <c r="DQ130" s="280"/>
      <c r="DR130" s="280"/>
      <c r="DS130" s="320"/>
      <c r="DT130" s="320"/>
      <c r="DU130" s="321"/>
      <c r="DV130" s="321"/>
      <c r="DW130" s="321"/>
      <c r="DX130" s="321"/>
      <c r="DY130" s="321"/>
      <c r="DZ130" s="321"/>
      <c r="EA130" s="321"/>
      <c r="EB130" s="321"/>
      <c r="EC130" s="321"/>
      <c r="ED130" s="321"/>
      <c r="EE130" s="321"/>
      <c r="EF130" s="321"/>
      <c r="EG130" s="321"/>
      <c r="EH130" s="321"/>
      <c r="EI130" s="280"/>
      <c r="EJ130" s="280"/>
      <c r="EK130" s="280"/>
      <c r="EL130" s="280"/>
      <c r="EM130" s="280"/>
      <c r="EN130" s="280"/>
      <c r="EO130" s="280"/>
      <c r="EP130" s="280"/>
      <c r="EQ130" s="280"/>
      <c r="ER130" s="280"/>
      <c r="ES130" s="280"/>
      <c r="ET130" s="280"/>
      <c r="EU130" s="280"/>
      <c r="EV130" s="280"/>
      <c r="EW130" s="280"/>
      <c r="EX130" s="280"/>
      <c r="EY130" s="280"/>
      <c r="EZ130" s="280"/>
      <c r="FA130" s="280"/>
      <c r="FB130" s="280"/>
      <c r="FC130" s="280"/>
      <c r="FD130" s="280"/>
      <c r="FE130" s="280"/>
      <c r="FF130" s="280"/>
      <c r="FG130" s="280"/>
      <c r="FH130" s="280"/>
      <c r="FI130" s="280"/>
      <c r="FJ130" s="280"/>
      <c r="FK130" s="280"/>
      <c r="FL130" s="280"/>
      <c r="FM130" s="280"/>
      <c r="FN130" s="280"/>
      <c r="FO130" s="280"/>
      <c r="FP130" s="280"/>
      <c r="FQ130" s="280"/>
      <c r="FR130" s="280"/>
      <c r="FS130" s="280"/>
      <c r="FT130" s="280"/>
      <c r="FU130" s="280"/>
      <c r="FV130" s="280"/>
      <c r="FW130" s="280"/>
      <c r="FX130" s="280"/>
      <c r="FY130" s="280"/>
      <c r="FZ130" s="280"/>
      <c r="GA130" s="280"/>
      <c r="GB130" s="280"/>
      <c r="GC130" s="280"/>
      <c r="GD130" s="280"/>
      <c r="GE130" s="280"/>
      <c r="GF130" s="280"/>
      <c r="GG130" s="280"/>
      <c r="GH130" s="280"/>
      <c r="GI130" s="280"/>
      <c r="GJ130" s="280"/>
      <c r="GK130" s="280"/>
      <c r="GL130" s="280"/>
      <c r="GM130" s="280"/>
      <c r="GN130" s="280"/>
      <c r="GO130" s="280"/>
      <c r="GP130" s="280"/>
      <c r="GQ130" s="280"/>
      <c r="GR130" s="280"/>
      <c r="GS130" s="280"/>
      <c r="GT130" s="280"/>
      <c r="GU130" s="280"/>
      <c r="GV130" s="280"/>
      <c r="GW130" s="280"/>
      <c r="GX130" s="280"/>
      <c r="GY130" s="280"/>
      <c r="GZ130" s="280"/>
      <c r="HA130" s="280"/>
      <c r="HB130" s="280"/>
      <c r="HC130" s="280"/>
      <c r="HD130" s="280"/>
      <c r="HE130" s="280"/>
      <c r="HF130" s="280"/>
      <c r="HG130" s="280"/>
      <c r="HH130" s="280"/>
      <c r="HI130" s="280"/>
      <c r="HJ130" s="280"/>
      <c r="HK130" s="280"/>
      <c r="HL130" s="280"/>
      <c r="HM130" s="280"/>
      <c r="HN130" s="280"/>
      <c r="HO130" s="280"/>
      <c r="HP130" s="280"/>
      <c r="HQ130" s="280"/>
      <c r="HR130" s="280"/>
      <c r="HS130" s="280"/>
      <c r="HT130" s="280"/>
      <c r="HU130" s="280"/>
      <c r="HV130" s="280"/>
      <c r="HW130" s="280"/>
      <c r="HX130" s="280"/>
      <c r="HY130" s="280"/>
      <c r="HZ130" s="280"/>
      <c r="IA130" s="280"/>
      <c r="IB130" s="280"/>
      <c r="IC130" s="280"/>
      <c r="ID130" s="280"/>
      <c r="IE130" s="280"/>
      <c r="IF130" s="280"/>
      <c r="IG130" s="280"/>
      <c r="IH130" s="280"/>
      <c r="II130" s="280"/>
      <c r="IJ130" s="280"/>
    </row>
    <row r="131" spans="1:244" s="281" customFormat="1" ht="15.75">
      <c r="A131" s="280"/>
      <c r="B131" s="41"/>
      <c r="C131" s="42"/>
      <c r="D131" s="43"/>
      <c r="E131" s="43"/>
      <c r="F131" s="63"/>
      <c r="G131" s="328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  <c r="BH131" s="280"/>
      <c r="BI131" s="280"/>
      <c r="BJ131" s="280"/>
      <c r="BK131" s="280"/>
      <c r="BL131" s="280"/>
      <c r="BM131" s="280"/>
      <c r="BN131" s="280"/>
      <c r="BO131" s="280"/>
      <c r="BP131" s="280"/>
      <c r="BQ131" s="280"/>
      <c r="BR131" s="280"/>
      <c r="BS131" s="280"/>
      <c r="BT131" s="280"/>
      <c r="BU131" s="280"/>
      <c r="BV131" s="280"/>
      <c r="BW131" s="280"/>
      <c r="BX131" s="280"/>
      <c r="BY131" s="280"/>
      <c r="BZ131" s="280"/>
      <c r="CA131" s="280"/>
      <c r="CB131" s="280"/>
      <c r="CC131" s="280"/>
      <c r="CD131" s="280"/>
      <c r="CE131" s="280"/>
      <c r="CF131" s="280"/>
      <c r="CG131" s="280"/>
      <c r="CH131" s="280"/>
      <c r="CI131" s="280"/>
      <c r="CJ131" s="280"/>
      <c r="CK131" s="280"/>
      <c r="CL131" s="280"/>
      <c r="CM131" s="280"/>
      <c r="CN131" s="280"/>
      <c r="CO131" s="280"/>
      <c r="CP131" s="280"/>
      <c r="CQ131" s="280"/>
      <c r="CR131" s="280"/>
      <c r="CS131" s="280"/>
      <c r="CT131" s="280"/>
      <c r="CU131" s="280"/>
      <c r="CV131" s="280"/>
      <c r="CW131" s="280"/>
      <c r="CX131" s="280"/>
      <c r="CY131" s="280"/>
      <c r="CZ131" s="280"/>
      <c r="DA131" s="280"/>
      <c r="DB131" s="280"/>
      <c r="DC131" s="280"/>
      <c r="DD131" s="280"/>
      <c r="DE131" s="280"/>
      <c r="DF131" s="280"/>
      <c r="DG131" s="280"/>
      <c r="DH131" s="280"/>
      <c r="DI131" s="280"/>
      <c r="DJ131" s="280"/>
      <c r="DK131" s="280"/>
      <c r="DL131" s="280"/>
      <c r="DM131" s="280"/>
      <c r="DN131" s="280"/>
      <c r="DO131" s="280"/>
      <c r="DP131" s="280"/>
      <c r="DQ131" s="280"/>
      <c r="DR131" s="280"/>
      <c r="DS131" s="320"/>
      <c r="DT131" s="320"/>
      <c r="DU131" s="321"/>
      <c r="DV131" s="321"/>
      <c r="DW131" s="328"/>
      <c r="DX131" s="321"/>
      <c r="DY131" s="321"/>
      <c r="DZ131" s="321"/>
      <c r="EA131" s="321"/>
      <c r="EB131" s="321"/>
      <c r="EC131" s="321"/>
      <c r="ED131" s="321"/>
      <c r="EE131" s="321"/>
      <c r="EF131" s="321"/>
      <c r="EG131" s="321"/>
      <c r="EH131" s="321"/>
      <c r="EI131" s="280"/>
      <c r="EJ131" s="280"/>
      <c r="EK131" s="280"/>
      <c r="EL131" s="280"/>
      <c r="EM131" s="280"/>
      <c r="EN131" s="280"/>
      <c r="EO131" s="280"/>
      <c r="EP131" s="280"/>
      <c r="EQ131" s="280"/>
      <c r="ER131" s="280"/>
      <c r="ES131" s="280"/>
      <c r="ET131" s="280"/>
      <c r="EU131" s="280"/>
      <c r="EV131" s="280"/>
      <c r="EW131" s="280"/>
      <c r="EX131" s="280"/>
      <c r="EY131" s="280"/>
      <c r="EZ131" s="280"/>
      <c r="FA131" s="280"/>
      <c r="FB131" s="280"/>
      <c r="FC131" s="280"/>
      <c r="FD131" s="280"/>
      <c r="FE131" s="280"/>
      <c r="FF131" s="280"/>
      <c r="FG131" s="280"/>
      <c r="FH131" s="280"/>
      <c r="FI131" s="280"/>
      <c r="FJ131" s="280"/>
      <c r="FK131" s="280"/>
      <c r="FL131" s="280"/>
      <c r="FM131" s="280"/>
      <c r="FN131" s="280"/>
      <c r="FO131" s="280"/>
      <c r="FP131" s="280"/>
      <c r="FQ131" s="280"/>
      <c r="FR131" s="280"/>
      <c r="FS131" s="280"/>
      <c r="FT131" s="280"/>
      <c r="FU131" s="280"/>
      <c r="FV131" s="280"/>
      <c r="FW131" s="280"/>
      <c r="FX131" s="280"/>
      <c r="FY131" s="280"/>
      <c r="FZ131" s="280"/>
      <c r="GA131" s="280"/>
      <c r="GB131" s="280"/>
      <c r="GC131" s="280"/>
      <c r="GD131" s="280"/>
      <c r="GE131" s="280"/>
      <c r="GF131" s="280"/>
      <c r="GG131" s="280"/>
      <c r="GH131" s="280"/>
      <c r="GI131" s="280"/>
      <c r="GJ131" s="280"/>
      <c r="GK131" s="280"/>
      <c r="GL131" s="280"/>
      <c r="GM131" s="280"/>
      <c r="GN131" s="280"/>
      <c r="GO131" s="280"/>
      <c r="GP131" s="280"/>
      <c r="GQ131" s="280"/>
      <c r="GR131" s="280"/>
      <c r="GS131" s="280"/>
      <c r="GT131" s="280"/>
      <c r="GU131" s="280"/>
      <c r="GV131" s="280"/>
      <c r="GW131" s="280"/>
      <c r="GX131" s="280"/>
      <c r="GY131" s="280"/>
      <c r="GZ131" s="280"/>
      <c r="HA131" s="280"/>
      <c r="HB131" s="280"/>
      <c r="HC131" s="280"/>
      <c r="HD131" s="280"/>
      <c r="HE131" s="280"/>
      <c r="HF131" s="280"/>
      <c r="HG131" s="280"/>
      <c r="HH131" s="280"/>
      <c r="HI131" s="280"/>
      <c r="HJ131" s="280"/>
      <c r="HK131" s="280"/>
      <c r="HL131" s="280"/>
      <c r="HM131" s="280"/>
      <c r="HN131" s="280"/>
      <c r="HO131" s="280"/>
      <c r="HP131" s="280"/>
      <c r="HQ131" s="280"/>
      <c r="HR131" s="280"/>
      <c r="HS131" s="280"/>
      <c r="HT131" s="280"/>
      <c r="HU131" s="280"/>
      <c r="HV131" s="280"/>
      <c r="HW131" s="280"/>
      <c r="HX131" s="280"/>
      <c r="HY131" s="280"/>
      <c r="HZ131" s="280"/>
      <c r="IA131" s="280"/>
      <c r="IB131" s="280"/>
      <c r="IC131" s="280"/>
      <c r="ID131" s="280"/>
      <c r="IE131" s="280"/>
      <c r="IF131" s="280"/>
      <c r="IG131" s="280"/>
      <c r="IH131" s="280"/>
      <c r="II131" s="280"/>
      <c r="IJ131" s="280"/>
    </row>
    <row r="132" spans="1:244" s="281" customFormat="1" ht="15.75">
      <c r="A132" s="280"/>
      <c r="B132" s="41"/>
      <c r="C132" s="42"/>
      <c r="D132" s="43"/>
      <c r="E132" s="43"/>
      <c r="F132" s="50">
        <f>SUM(F62:F131)</f>
        <v>17.4</v>
      </c>
      <c r="G132" s="321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  <c r="BH132" s="280"/>
      <c r="BI132" s="280"/>
      <c r="BJ132" s="280"/>
      <c r="BK132" s="280"/>
      <c r="BL132" s="280"/>
      <c r="BM132" s="280"/>
      <c r="BN132" s="280"/>
      <c r="BO132" s="280"/>
      <c r="BP132" s="280"/>
      <c r="BQ132" s="280"/>
      <c r="BR132" s="280"/>
      <c r="BS132" s="280"/>
      <c r="BT132" s="280"/>
      <c r="BU132" s="280"/>
      <c r="BV132" s="280"/>
      <c r="BW132" s="280"/>
      <c r="BX132" s="280"/>
      <c r="BY132" s="280"/>
      <c r="BZ132" s="280"/>
      <c r="CA132" s="280"/>
      <c r="CB132" s="280"/>
      <c r="CC132" s="280"/>
      <c r="CD132" s="280"/>
      <c r="CE132" s="280"/>
      <c r="CF132" s="280"/>
      <c r="CG132" s="280"/>
      <c r="CH132" s="280"/>
      <c r="CI132" s="280"/>
      <c r="CJ132" s="280"/>
      <c r="CK132" s="280"/>
      <c r="CL132" s="280"/>
      <c r="CM132" s="280"/>
      <c r="CN132" s="280"/>
      <c r="CO132" s="280"/>
      <c r="CP132" s="280"/>
      <c r="CQ132" s="280"/>
      <c r="CR132" s="280"/>
      <c r="CS132" s="280"/>
      <c r="CT132" s="280"/>
      <c r="CU132" s="280"/>
      <c r="CV132" s="280"/>
      <c r="CW132" s="280"/>
      <c r="CX132" s="280"/>
      <c r="CY132" s="280"/>
      <c r="CZ132" s="280"/>
      <c r="DA132" s="280"/>
      <c r="DB132" s="280"/>
      <c r="DC132" s="280"/>
      <c r="DD132" s="280"/>
      <c r="DE132" s="280"/>
      <c r="DF132" s="280"/>
      <c r="DG132" s="280"/>
      <c r="DH132" s="280"/>
      <c r="DI132" s="280"/>
      <c r="DJ132" s="280"/>
      <c r="DK132" s="280"/>
      <c r="DL132" s="280"/>
      <c r="DM132" s="280"/>
      <c r="DN132" s="280"/>
      <c r="DO132" s="280"/>
      <c r="DP132" s="280"/>
      <c r="DQ132" s="280"/>
      <c r="DR132" s="280"/>
      <c r="DS132" s="320"/>
      <c r="DT132" s="320"/>
      <c r="DU132" s="321"/>
      <c r="DV132" s="321"/>
      <c r="DW132" s="321"/>
      <c r="DX132" s="321"/>
      <c r="DY132" s="321"/>
      <c r="DZ132" s="321"/>
      <c r="EA132" s="321"/>
      <c r="EB132" s="321"/>
      <c r="EC132" s="321"/>
      <c r="ED132" s="321"/>
      <c r="EE132" s="321"/>
      <c r="EF132" s="321"/>
      <c r="EG132" s="321"/>
      <c r="EH132" s="321"/>
      <c r="EI132" s="280"/>
      <c r="EJ132" s="280"/>
      <c r="EK132" s="280"/>
      <c r="EL132" s="280"/>
      <c r="EM132" s="280"/>
      <c r="EN132" s="280"/>
      <c r="EO132" s="280"/>
      <c r="EP132" s="280"/>
      <c r="EQ132" s="280"/>
      <c r="ER132" s="280"/>
      <c r="ES132" s="280"/>
      <c r="ET132" s="280"/>
      <c r="EU132" s="280"/>
      <c r="EV132" s="280"/>
      <c r="EW132" s="280"/>
      <c r="EX132" s="280"/>
      <c r="EY132" s="280"/>
      <c r="EZ132" s="280"/>
      <c r="FA132" s="280"/>
      <c r="FB132" s="280"/>
      <c r="FC132" s="280"/>
      <c r="FD132" s="280"/>
      <c r="FE132" s="280"/>
      <c r="FF132" s="280"/>
      <c r="FG132" s="280"/>
      <c r="FH132" s="280"/>
      <c r="FI132" s="280"/>
      <c r="FJ132" s="280"/>
      <c r="FK132" s="280"/>
      <c r="FL132" s="280"/>
      <c r="FM132" s="280"/>
      <c r="FN132" s="280"/>
      <c r="FO132" s="280"/>
      <c r="FP132" s="280"/>
      <c r="FQ132" s="280"/>
      <c r="FR132" s="280"/>
      <c r="FS132" s="280"/>
      <c r="FT132" s="280"/>
      <c r="FU132" s="280"/>
      <c r="FV132" s="280"/>
      <c r="FW132" s="280"/>
      <c r="FX132" s="280"/>
      <c r="FY132" s="280"/>
      <c r="FZ132" s="280"/>
      <c r="GA132" s="280"/>
      <c r="GB132" s="280"/>
      <c r="GC132" s="280"/>
      <c r="GD132" s="280"/>
      <c r="GE132" s="280"/>
      <c r="GF132" s="280"/>
      <c r="GG132" s="280"/>
      <c r="GH132" s="280"/>
      <c r="GI132" s="280"/>
      <c r="GJ132" s="280"/>
      <c r="GK132" s="280"/>
      <c r="GL132" s="280"/>
      <c r="GM132" s="280"/>
      <c r="GN132" s="280"/>
      <c r="GO132" s="280"/>
      <c r="GP132" s="280"/>
      <c r="GQ132" s="280"/>
      <c r="GR132" s="280"/>
      <c r="GS132" s="280"/>
      <c r="GT132" s="280"/>
      <c r="GU132" s="280"/>
      <c r="GV132" s="280"/>
      <c r="GW132" s="280"/>
      <c r="GX132" s="280"/>
      <c r="GY132" s="280"/>
      <c r="GZ132" s="280"/>
      <c r="HA132" s="280"/>
      <c r="HB132" s="280"/>
      <c r="HC132" s="280"/>
      <c r="HD132" s="280"/>
      <c r="HE132" s="280"/>
      <c r="HF132" s="280"/>
      <c r="HG132" s="280"/>
      <c r="HH132" s="280"/>
      <c r="HI132" s="280"/>
      <c r="HJ132" s="280"/>
      <c r="HK132" s="280"/>
      <c r="HL132" s="280"/>
      <c r="HM132" s="280"/>
      <c r="HN132" s="280"/>
      <c r="HO132" s="280"/>
      <c r="HP132" s="280"/>
      <c r="HQ132" s="280"/>
      <c r="HR132" s="280"/>
      <c r="HS132" s="280"/>
      <c r="HT132" s="280"/>
      <c r="HU132" s="280"/>
      <c r="HV132" s="280"/>
      <c r="HW132" s="280"/>
      <c r="HX132" s="280"/>
      <c r="HY132" s="280"/>
      <c r="HZ132" s="280"/>
      <c r="IA132" s="280"/>
      <c r="IB132" s="280"/>
      <c r="IC132" s="280"/>
      <c r="ID132" s="280"/>
      <c r="IE132" s="280"/>
      <c r="IF132" s="280"/>
      <c r="IG132" s="280"/>
      <c r="IH132" s="280"/>
      <c r="II132" s="280"/>
      <c r="IJ132" s="280"/>
    </row>
    <row r="133" spans="1:244" s="281" customFormat="1" ht="15.75">
      <c r="A133" s="280"/>
      <c r="B133" s="41">
        <v>8</v>
      </c>
      <c r="C133" s="49" t="s">
        <v>506</v>
      </c>
      <c r="D133" s="43"/>
      <c r="E133" s="43"/>
      <c r="F133" s="50">
        <f>ROUND(V28,2)</f>
        <v>14.7</v>
      </c>
      <c r="G133" s="321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80"/>
      <c r="AT133" s="280"/>
      <c r="AU133" s="280"/>
      <c r="AV133" s="280"/>
      <c r="AW133" s="280"/>
      <c r="AX133" s="280"/>
      <c r="AY133" s="280"/>
      <c r="AZ133" s="280"/>
      <c r="BA133" s="280"/>
      <c r="BB133" s="280"/>
      <c r="BC133" s="280"/>
      <c r="BD133" s="280"/>
      <c r="BE133" s="280"/>
      <c r="BF133" s="280"/>
      <c r="BG133" s="280"/>
      <c r="BH133" s="280"/>
      <c r="BI133" s="280"/>
      <c r="BJ133" s="280"/>
      <c r="BK133" s="280"/>
      <c r="BL133" s="280"/>
      <c r="BM133" s="280"/>
      <c r="BN133" s="280"/>
      <c r="BO133" s="280"/>
      <c r="BP133" s="280"/>
      <c r="BQ133" s="280"/>
      <c r="BR133" s="280"/>
      <c r="BS133" s="280"/>
      <c r="BT133" s="280"/>
      <c r="BU133" s="280"/>
      <c r="BV133" s="280"/>
      <c r="BW133" s="280"/>
      <c r="BX133" s="280"/>
      <c r="BY133" s="280"/>
      <c r="BZ133" s="280"/>
      <c r="CA133" s="280"/>
      <c r="CB133" s="280"/>
      <c r="CC133" s="280"/>
      <c r="CD133" s="280"/>
      <c r="CE133" s="280"/>
      <c r="CF133" s="280"/>
      <c r="CG133" s="280"/>
      <c r="CH133" s="280"/>
      <c r="CI133" s="280"/>
      <c r="CJ133" s="280"/>
      <c r="CK133" s="280"/>
      <c r="CL133" s="280"/>
      <c r="CM133" s="280"/>
      <c r="CN133" s="280"/>
      <c r="CO133" s="280"/>
      <c r="CP133" s="280"/>
      <c r="CQ133" s="280"/>
      <c r="CR133" s="280"/>
      <c r="CS133" s="280"/>
      <c r="CT133" s="280"/>
      <c r="CU133" s="280"/>
      <c r="CV133" s="280"/>
      <c r="CW133" s="280"/>
      <c r="CX133" s="280"/>
      <c r="CY133" s="280"/>
      <c r="CZ133" s="280"/>
      <c r="DA133" s="280"/>
      <c r="DB133" s="280"/>
      <c r="DC133" s="280"/>
      <c r="DD133" s="280"/>
      <c r="DE133" s="280"/>
      <c r="DF133" s="280"/>
      <c r="DG133" s="280"/>
      <c r="DH133" s="280"/>
      <c r="DI133" s="280"/>
      <c r="DJ133" s="280"/>
      <c r="DK133" s="280"/>
      <c r="DL133" s="280"/>
      <c r="DM133" s="280"/>
      <c r="DN133" s="280"/>
      <c r="DO133" s="280"/>
      <c r="DP133" s="280"/>
      <c r="DQ133" s="280"/>
      <c r="DR133" s="280"/>
      <c r="DS133" s="320"/>
      <c r="DT133" s="320"/>
      <c r="DU133" s="321"/>
      <c r="DV133" s="321"/>
      <c r="DW133" s="321"/>
      <c r="DX133" s="321"/>
      <c r="DY133" s="321"/>
      <c r="DZ133" s="321"/>
      <c r="EA133" s="321"/>
      <c r="EB133" s="321"/>
      <c r="EC133" s="321"/>
      <c r="ED133" s="321"/>
      <c r="EE133" s="321"/>
      <c r="EF133" s="321"/>
      <c r="EG133" s="321"/>
      <c r="EH133" s="321"/>
      <c r="EI133" s="280"/>
      <c r="EJ133" s="280"/>
      <c r="EK133" s="280"/>
      <c r="EL133" s="280"/>
      <c r="EM133" s="280"/>
      <c r="EN133" s="280"/>
      <c r="EO133" s="280"/>
      <c r="EP133" s="280"/>
      <c r="EQ133" s="280"/>
      <c r="ER133" s="280"/>
      <c r="ES133" s="280"/>
      <c r="ET133" s="280"/>
      <c r="EU133" s="280"/>
      <c r="EV133" s="280"/>
      <c r="EW133" s="280"/>
      <c r="EX133" s="280"/>
      <c r="EY133" s="280"/>
      <c r="EZ133" s="280"/>
      <c r="FA133" s="280"/>
      <c r="FB133" s="280"/>
      <c r="FC133" s="280"/>
      <c r="FD133" s="280"/>
      <c r="FE133" s="280"/>
      <c r="FF133" s="280"/>
      <c r="FG133" s="280"/>
      <c r="FH133" s="280"/>
      <c r="FI133" s="280"/>
      <c r="FJ133" s="280"/>
      <c r="FK133" s="280"/>
      <c r="FL133" s="280"/>
      <c r="FM133" s="280"/>
      <c r="FN133" s="280"/>
      <c r="FO133" s="280"/>
      <c r="FP133" s="280"/>
      <c r="FQ133" s="280"/>
      <c r="FR133" s="280"/>
      <c r="FS133" s="280"/>
      <c r="FT133" s="280"/>
      <c r="FU133" s="280"/>
      <c r="FV133" s="280"/>
      <c r="FW133" s="280"/>
      <c r="FX133" s="280"/>
      <c r="FY133" s="280"/>
      <c r="FZ133" s="280"/>
      <c r="GA133" s="280"/>
      <c r="GB133" s="280"/>
      <c r="GC133" s="280"/>
      <c r="GD133" s="280"/>
      <c r="GE133" s="280"/>
      <c r="GF133" s="280"/>
      <c r="GG133" s="280"/>
      <c r="GH133" s="280"/>
      <c r="GI133" s="280"/>
      <c r="GJ133" s="280"/>
      <c r="GK133" s="280"/>
      <c r="GL133" s="280"/>
      <c r="GM133" s="280"/>
      <c r="GN133" s="280"/>
      <c r="GO133" s="280"/>
      <c r="GP133" s="280"/>
      <c r="GQ133" s="280"/>
      <c r="GR133" s="280"/>
      <c r="GS133" s="280"/>
      <c r="GT133" s="280"/>
      <c r="GU133" s="280"/>
      <c r="GV133" s="280"/>
      <c r="GW133" s="280"/>
      <c r="GX133" s="280"/>
      <c r="GY133" s="280"/>
      <c r="GZ133" s="280"/>
      <c r="HA133" s="280"/>
      <c r="HB133" s="280"/>
      <c r="HC133" s="280"/>
      <c r="HD133" s="280"/>
      <c r="HE133" s="280"/>
      <c r="HF133" s="280"/>
      <c r="HG133" s="280"/>
      <c r="HH133" s="280"/>
      <c r="HI133" s="280"/>
      <c r="HJ133" s="280"/>
      <c r="HK133" s="280"/>
      <c r="HL133" s="280"/>
      <c r="HM133" s="280"/>
      <c r="HN133" s="280"/>
      <c r="HO133" s="280"/>
      <c r="HP133" s="280"/>
      <c r="HQ133" s="280"/>
      <c r="HR133" s="280"/>
      <c r="HS133" s="280"/>
      <c r="HT133" s="280"/>
      <c r="HU133" s="280"/>
      <c r="HV133" s="280"/>
      <c r="HW133" s="280"/>
      <c r="HX133" s="280"/>
      <c r="HY133" s="280"/>
      <c r="HZ133" s="280"/>
      <c r="IA133" s="280"/>
      <c r="IB133" s="280"/>
      <c r="IC133" s="280"/>
      <c r="ID133" s="280"/>
      <c r="IE133" s="280"/>
      <c r="IF133" s="280"/>
      <c r="IG133" s="280"/>
      <c r="IH133" s="280"/>
      <c r="II133" s="280"/>
      <c r="IJ133" s="280"/>
    </row>
    <row r="134" spans="1:244" s="281" customFormat="1" ht="16.5" thickBot="1">
      <c r="A134" s="280"/>
      <c r="B134" s="45"/>
      <c r="C134" s="46"/>
      <c r="D134" s="71" t="s">
        <v>507</v>
      </c>
      <c r="E134" s="71"/>
      <c r="F134" s="72">
        <f>+F132+F133</f>
        <v>32.099999999999994</v>
      </c>
      <c r="G134" s="321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280"/>
      <c r="BG134" s="280"/>
      <c r="BH134" s="280"/>
      <c r="BI134" s="280"/>
      <c r="BJ134" s="280"/>
      <c r="BK134" s="280"/>
      <c r="BL134" s="280"/>
      <c r="BM134" s="280"/>
      <c r="BN134" s="280"/>
      <c r="BO134" s="280"/>
      <c r="BP134" s="280"/>
      <c r="BQ134" s="280"/>
      <c r="BR134" s="280"/>
      <c r="BS134" s="280"/>
      <c r="BT134" s="280"/>
      <c r="BU134" s="280"/>
      <c r="BV134" s="280"/>
      <c r="BW134" s="280"/>
      <c r="BX134" s="280"/>
      <c r="BY134" s="280"/>
      <c r="BZ134" s="280"/>
      <c r="CA134" s="280"/>
      <c r="CB134" s="280"/>
      <c r="CC134" s="280"/>
      <c r="CD134" s="280"/>
      <c r="CE134" s="280"/>
      <c r="CF134" s="280"/>
      <c r="CG134" s="280"/>
      <c r="CH134" s="280"/>
      <c r="CI134" s="280"/>
      <c r="CJ134" s="280"/>
      <c r="CK134" s="280"/>
      <c r="CL134" s="280"/>
      <c r="CM134" s="280"/>
      <c r="CN134" s="280"/>
      <c r="CO134" s="280"/>
      <c r="CP134" s="280"/>
      <c r="CQ134" s="280"/>
      <c r="CR134" s="280"/>
      <c r="CS134" s="280"/>
      <c r="CT134" s="280"/>
      <c r="CU134" s="280"/>
      <c r="CV134" s="280"/>
      <c r="CW134" s="280"/>
      <c r="CX134" s="280"/>
      <c r="CY134" s="280"/>
      <c r="CZ134" s="280"/>
      <c r="DA134" s="280"/>
      <c r="DB134" s="280"/>
      <c r="DC134" s="280"/>
      <c r="DD134" s="280"/>
      <c r="DE134" s="280"/>
      <c r="DF134" s="280"/>
      <c r="DG134" s="280"/>
      <c r="DH134" s="280"/>
      <c r="DI134" s="280"/>
      <c r="DJ134" s="280"/>
      <c r="DK134" s="280"/>
      <c r="DL134" s="280"/>
      <c r="DM134" s="280"/>
      <c r="DN134" s="280"/>
      <c r="DO134" s="280"/>
      <c r="DP134" s="280"/>
      <c r="DQ134" s="280"/>
      <c r="DR134" s="280"/>
      <c r="DS134" s="320"/>
      <c r="DT134" s="320"/>
      <c r="DU134" s="321"/>
      <c r="DV134" s="321"/>
      <c r="DW134" s="321"/>
      <c r="DX134" s="321"/>
      <c r="DY134" s="321"/>
      <c r="DZ134" s="321"/>
      <c r="EA134" s="321"/>
      <c r="EB134" s="321"/>
      <c r="EC134" s="321"/>
      <c r="ED134" s="321"/>
      <c r="EE134" s="321"/>
      <c r="EF134" s="321"/>
      <c r="EG134" s="321"/>
      <c r="EH134" s="321"/>
      <c r="EI134" s="280"/>
      <c r="EJ134" s="280"/>
      <c r="EK134" s="280"/>
      <c r="EL134" s="280"/>
      <c r="EM134" s="280"/>
      <c r="EN134" s="280"/>
      <c r="EO134" s="280"/>
      <c r="EP134" s="280"/>
      <c r="EQ134" s="280"/>
      <c r="ER134" s="280"/>
      <c r="ES134" s="280"/>
      <c r="ET134" s="280"/>
      <c r="EU134" s="280"/>
      <c r="EV134" s="280"/>
      <c r="EW134" s="280"/>
      <c r="EX134" s="280"/>
      <c r="EY134" s="280"/>
      <c r="EZ134" s="280"/>
      <c r="FA134" s="280"/>
      <c r="FB134" s="280"/>
      <c r="FC134" s="280"/>
      <c r="FD134" s="280"/>
      <c r="FE134" s="280"/>
      <c r="FF134" s="280"/>
      <c r="FG134" s="280"/>
      <c r="FH134" s="280"/>
      <c r="FI134" s="280"/>
      <c r="FJ134" s="280"/>
      <c r="FK134" s="280"/>
      <c r="FL134" s="280"/>
      <c r="FM134" s="280"/>
      <c r="FN134" s="280"/>
      <c r="FO134" s="280"/>
      <c r="FP134" s="280"/>
      <c r="FQ134" s="280"/>
      <c r="FR134" s="280"/>
      <c r="FS134" s="280"/>
      <c r="FT134" s="280"/>
      <c r="FU134" s="280"/>
      <c r="FV134" s="280"/>
      <c r="FW134" s="280"/>
      <c r="FX134" s="280"/>
      <c r="FY134" s="280"/>
      <c r="FZ134" s="280"/>
      <c r="GA134" s="280"/>
      <c r="GB134" s="280"/>
      <c r="GC134" s="280"/>
      <c r="GD134" s="280"/>
      <c r="GE134" s="280"/>
      <c r="GF134" s="280"/>
      <c r="GG134" s="280"/>
      <c r="GH134" s="280"/>
      <c r="GI134" s="280"/>
      <c r="GJ134" s="280"/>
      <c r="GK134" s="280"/>
      <c r="GL134" s="280"/>
      <c r="GM134" s="280"/>
      <c r="GN134" s="280"/>
      <c r="GO134" s="280"/>
      <c r="GP134" s="280"/>
      <c r="GQ134" s="280"/>
      <c r="GR134" s="280"/>
      <c r="GS134" s="280"/>
      <c r="GT134" s="280"/>
      <c r="GU134" s="280"/>
      <c r="GV134" s="280"/>
      <c r="GW134" s="280"/>
      <c r="GX134" s="280"/>
      <c r="GY134" s="280"/>
      <c r="GZ134" s="280"/>
      <c r="HA134" s="280"/>
      <c r="HB134" s="280"/>
      <c r="HC134" s="280"/>
      <c r="HD134" s="280"/>
      <c r="HE134" s="280"/>
      <c r="HF134" s="280"/>
      <c r="HG134" s="280"/>
      <c r="HH134" s="280"/>
      <c r="HI134" s="280"/>
      <c r="HJ134" s="280"/>
      <c r="HK134" s="280"/>
      <c r="HL134" s="280"/>
      <c r="HM134" s="280"/>
      <c r="HN134" s="280"/>
      <c r="HO134" s="280"/>
      <c r="HP134" s="280"/>
      <c r="HQ134" s="280"/>
      <c r="HR134" s="280"/>
      <c r="HS134" s="280"/>
      <c r="HT134" s="280"/>
      <c r="HU134" s="280"/>
      <c r="HV134" s="280"/>
      <c r="HW134" s="280"/>
      <c r="HX134" s="280"/>
      <c r="HY134" s="280"/>
      <c r="HZ134" s="280"/>
      <c r="IA134" s="280"/>
      <c r="IB134" s="280"/>
      <c r="IC134" s="280"/>
      <c r="ID134" s="280"/>
      <c r="IE134" s="280"/>
      <c r="IF134" s="280"/>
      <c r="IG134" s="280"/>
      <c r="IH134" s="280"/>
      <c r="II134" s="280"/>
      <c r="IJ134" s="280"/>
    </row>
    <row r="135" spans="1:244" s="281" customFormat="1" ht="16.5" thickTop="1">
      <c r="A135" s="280"/>
      <c r="B135" s="57"/>
      <c r="C135" s="57"/>
      <c r="D135" s="73"/>
      <c r="E135" s="73"/>
      <c r="F135" s="64"/>
      <c r="G135" s="321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  <c r="AV135" s="280"/>
      <c r="AW135" s="280"/>
      <c r="AX135" s="280"/>
      <c r="AY135" s="280"/>
      <c r="AZ135" s="280"/>
      <c r="BA135" s="280"/>
      <c r="BB135" s="280"/>
      <c r="BC135" s="280"/>
      <c r="BD135" s="280"/>
      <c r="BE135" s="280"/>
      <c r="BF135" s="280"/>
      <c r="BG135" s="280"/>
      <c r="BH135" s="280"/>
      <c r="BI135" s="280"/>
      <c r="BJ135" s="280"/>
      <c r="BK135" s="280"/>
      <c r="BL135" s="280"/>
      <c r="BM135" s="280"/>
      <c r="BN135" s="280"/>
      <c r="BO135" s="280"/>
      <c r="BP135" s="280"/>
      <c r="BQ135" s="280"/>
      <c r="BR135" s="280"/>
      <c r="BS135" s="280"/>
      <c r="BT135" s="280"/>
      <c r="BU135" s="280"/>
      <c r="BV135" s="280"/>
      <c r="BW135" s="280"/>
      <c r="BX135" s="280"/>
      <c r="BY135" s="280"/>
      <c r="BZ135" s="280"/>
      <c r="CA135" s="280"/>
      <c r="CB135" s="280"/>
      <c r="CC135" s="280"/>
      <c r="CD135" s="280"/>
      <c r="CE135" s="280"/>
      <c r="CF135" s="280"/>
      <c r="CG135" s="280"/>
      <c r="CH135" s="280"/>
      <c r="CI135" s="280"/>
      <c r="CJ135" s="280"/>
      <c r="CK135" s="280"/>
      <c r="CL135" s="280"/>
      <c r="CM135" s="280"/>
      <c r="CN135" s="280"/>
      <c r="CO135" s="280"/>
      <c r="CP135" s="280"/>
      <c r="CQ135" s="280"/>
      <c r="CR135" s="280"/>
      <c r="CS135" s="280"/>
      <c r="CT135" s="280"/>
      <c r="CU135" s="280"/>
      <c r="CV135" s="280"/>
      <c r="CW135" s="280"/>
      <c r="CX135" s="280"/>
      <c r="CY135" s="280"/>
      <c r="CZ135" s="280"/>
      <c r="DA135" s="280"/>
      <c r="DB135" s="280"/>
      <c r="DC135" s="280"/>
      <c r="DD135" s="280"/>
      <c r="DE135" s="280"/>
      <c r="DF135" s="280"/>
      <c r="DG135" s="280"/>
      <c r="DH135" s="280"/>
      <c r="DI135" s="280"/>
      <c r="DJ135" s="280"/>
      <c r="DK135" s="280"/>
      <c r="DL135" s="280"/>
      <c r="DM135" s="280"/>
      <c r="DN135" s="280"/>
      <c r="DO135" s="280"/>
      <c r="DP135" s="280"/>
      <c r="DQ135" s="280"/>
      <c r="DR135" s="280"/>
      <c r="DS135" s="320"/>
      <c r="DT135" s="320"/>
      <c r="DU135" s="321"/>
      <c r="DV135" s="321"/>
      <c r="DW135" s="321"/>
      <c r="DX135" s="321"/>
      <c r="DY135" s="321"/>
      <c r="DZ135" s="321"/>
      <c r="EA135" s="321"/>
      <c r="EB135" s="321"/>
      <c r="EC135" s="321"/>
      <c r="ED135" s="321"/>
      <c r="EE135" s="321"/>
      <c r="EF135" s="321"/>
      <c r="EG135" s="321"/>
      <c r="EH135" s="321"/>
      <c r="EI135" s="280"/>
      <c r="EJ135" s="280"/>
      <c r="EK135" s="280"/>
      <c r="EL135" s="280"/>
      <c r="EM135" s="280"/>
      <c r="EN135" s="280"/>
      <c r="EO135" s="280"/>
      <c r="EP135" s="280"/>
      <c r="EQ135" s="280"/>
      <c r="ER135" s="280"/>
      <c r="ES135" s="280"/>
      <c r="ET135" s="280"/>
      <c r="EU135" s="280"/>
      <c r="EV135" s="280"/>
      <c r="EW135" s="280"/>
      <c r="EX135" s="280"/>
      <c r="EY135" s="280"/>
      <c r="EZ135" s="280"/>
      <c r="FA135" s="280"/>
      <c r="FB135" s="280"/>
      <c r="FC135" s="280"/>
      <c r="FD135" s="280"/>
      <c r="FE135" s="280"/>
      <c r="FF135" s="280"/>
      <c r="FG135" s="280"/>
      <c r="FH135" s="280"/>
      <c r="FI135" s="280"/>
      <c r="FJ135" s="280"/>
      <c r="FK135" s="280"/>
      <c r="FL135" s="280"/>
      <c r="FM135" s="280"/>
      <c r="FN135" s="280"/>
      <c r="FO135" s="280"/>
      <c r="FP135" s="280"/>
      <c r="FQ135" s="280"/>
      <c r="FR135" s="280"/>
      <c r="FS135" s="280"/>
      <c r="FT135" s="280"/>
      <c r="FU135" s="280"/>
      <c r="FV135" s="280"/>
      <c r="FW135" s="280"/>
      <c r="FX135" s="280"/>
      <c r="FY135" s="280"/>
      <c r="FZ135" s="280"/>
      <c r="GA135" s="280"/>
      <c r="GB135" s="280"/>
      <c r="GC135" s="280"/>
      <c r="GD135" s="280"/>
      <c r="GE135" s="280"/>
      <c r="GF135" s="280"/>
      <c r="GG135" s="280"/>
      <c r="GH135" s="280"/>
      <c r="GI135" s="280"/>
      <c r="GJ135" s="280"/>
      <c r="GK135" s="280"/>
      <c r="GL135" s="280"/>
      <c r="GM135" s="280"/>
      <c r="GN135" s="280"/>
      <c r="GO135" s="280"/>
      <c r="GP135" s="280"/>
      <c r="GQ135" s="280"/>
      <c r="GR135" s="280"/>
      <c r="GS135" s="280"/>
      <c r="GT135" s="280"/>
      <c r="GU135" s="280"/>
      <c r="GV135" s="280"/>
      <c r="GW135" s="280"/>
      <c r="GX135" s="280"/>
      <c r="GY135" s="280"/>
      <c r="GZ135" s="280"/>
      <c r="HA135" s="280"/>
      <c r="HB135" s="280"/>
      <c r="HC135" s="280"/>
      <c r="HD135" s="280"/>
      <c r="HE135" s="280"/>
      <c r="HF135" s="280"/>
      <c r="HG135" s="280"/>
      <c r="HH135" s="280"/>
      <c r="HI135" s="280"/>
      <c r="HJ135" s="280"/>
      <c r="HK135" s="280"/>
      <c r="HL135" s="280"/>
      <c r="HM135" s="280"/>
      <c r="HN135" s="280"/>
      <c r="HO135" s="280"/>
      <c r="HP135" s="280"/>
      <c r="HQ135" s="280"/>
      <c r="HR135" s="280"/>
      <c r="HS135" s="280"/>
      <c r="HT135" s="280"/>
      <c r="HU135" s="280"/>
      <c r="HV135" s="280"/>
      <c r="HW135" s="280"/>
      <c r="HX135" s="280"/>
      <c r="HY135" s="280"/>
      <c r="HZ135" s="280"/>
      <c r="IA135" s="280"/>
      <c r="IB135" s="280"/>
      <c r="IC135" s="280"/>
      <c r="ID135" s="280"/>
      <c r="IE135" s="280"/>
      <c r="IF135" s="280"/>
      <c r="IG135" s="280"/>
      <c r="IH135" s="280"/>
      <c r="II135" s="280"/>
      <c r="IJ135" s="280"/>
    </row>
    <row r="136" spans="1:244" s="281" customFormat="1" ht="15">
      <c r="A136" s="280"/>
      <c r="D136" s="331"/>
      <c r="E136" s="331"/>
      <c r="F136" s="331"/>
      <c r="G136" s="321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  <c r="BA136" s="280"/>
      <c r="BB136" s="280"/>
      <c r="BC136" s="280"/>
      <c r="BD136" s="280"/>
      <c r="BE136" s="280"/>
      <c r="BF136" s="280"/>
      <c r="BG136" s="280"/>
      <c r="BH136" s="280"/>
      <c r="BI136" s="280"/>
      <c r="BJ136" s="280"/>
      <c r="BK136" s="280"/>
      <c r="BL136" s="280"/>
      <c r="BM136" s="280"/>
      <c r="BN136" s="280"/>
      <c r="BO136" s="280"/>
      <c r="BP136" s="280"/>
      <c r="BQ136" s="280"/>
      <c r="BR136" s="280"/>
      <c r="BS136" s="280"/>
      <c r="BT136" s="280"/>
      <c r="BU136" s="280"/>
      <c r="BV136" s="280"/>
      <c r="BW136" s="280"/>
      <c r="BX136" s="280"/>
      <c r="BY136" s="280"/>
      <c r="BZ136" s="280"/>
      <c r="CA136" s="280"/>
      <c r="CB136" s="280"/>
      <c r="CC136" s="280"/>
      <c r="CD136" s="280"/>
      <c r="CE136" s="280"/>
      <c r="CF136" s="280"/>
      <c r="CG136" s="280"/>
      <c r="CH136" s="280"/>
      <c r="CI136" s="280"/>
      <c r="CJ136" s="280"/>
      <c r="CK136" s="280"/>
      <c r="CL136" s="280"/>
      <c r="CM136" s="280"/>
      <c r="CN136" s="280"/>
      <c r="CO136" s="280"/>
      <c r="CP136" s="280"/>
      <c r="CQ136" s="280"/>
      <c r="CR136" s="280"/>
      <c r="CS136" s="280"/>
      <c r="CT136" s="280"/>
      <c r="CU136" s="280"/>
      <c r="CV136" s="280"/>
      <c r="CW136" s="280"/>
      <c r="CX136" s="280"/>
      <c r="CY136" s="280"/>
      <c r="CZ136" s="280"/>
      <c r="DA136" s="280"/>
      <c r="DB136" s="280"/>
      <c r="DC136" s="280"/>
      <c r="DD136" s="280"/>
      <c r="DE136" s="280"/>
      <c r="DF136" s="280"/>
      <c r="DG136" s="280"/>
      <c r="DH136" s="280"/>
      <c r="DI136" s="280"/>
      <c r="DJ136" s="280"/>
      <c r="DK136" s="280"/>
      <c r="DL136" s="280"/>
      <c r="DM136" s="280"/>
      <c r="DN136" s="280"/>
      <c r="DO136" s="280"/>
      <c r="DP136" s="280"/>
      <c r="DQ136" s="280"/>
      <c r="DR136" s="280"/>
      <c r="DS136" s="320"/>
      <c r="DT136" s="320"/>
      <c r="DU136" s="321"/>
      <c r="DV136" s="321"/>
      <c r="DW136" s="328"/>
      <c r="DX136" s="321"/>
      <c r="DY136" s="321"/>
      <c r="DZ136" s="321"/>
      <c r="EA136" s="321"/>
      <c r="EB136" s="321"/>
      <c r="EC136" s="321"/>
      <c r="ED136" s="321"/>
      <c r="EE136" s="321"/>
      <c r="EF136" s="321"/>
      <c r="EG136" s="321"/>
      <c r="EH136" s="321"/>
      <c r="EI136" s="280"/>
      <c r="EJ136" s="280"/>
      <c r="EK136" s="280"/>
      <c r="EL136" s="280"/>
      <c r="EM136" s="280"/>
      <c r="EN136" s="280"/>
      <c r="EO136" s="280"/>
      <c r="EP136" s="280"/>
      <c r="EQ136" s="280"/>
      <c r="ER136" s="280"/>
      <c r="ES136" s="280"/>
      <c r="ET136" s="280"/>
      <c r="EU136" s="280"/>
      <c r="EV136" s="280"/>
      <c r="EW136" s="280"/>
      <c r="EX136" s="280"/>
      <c r="EY136" s="280"/>
      <c r="EZ136" s="280"/>
      <c r="FA136" s="280"/>
      <c r="FB136" s="280"/>
      <c r="FC136" s="280"/>
      <c r="FD136" s="280"/>
      <c r="FE136" s="280"/>
      <c r="FF136" s="280"/>
      <c r="FG136" s="280"/>
      <c r="FH136" s="280"/>
      <c r="FI136" s="280"/>
      <c r="FJ136" s="280"/>
      <c r="FK136" s="280"/>
      <c r="FL136" s="280"/>
      <c r="FM136" s="280"/>
      <c r="FN136" s="280"/>
      <c r="FO136" s="280"/>
      <c r="FP136" s="280"/>
      <c r="FQ136" s="280"/>
      <c r="FR136" s="280"/>
      <c r="FS136" s="280"/>
      <c r="FT136" s="280"/>
      <c r="FU136" s="280"/>
      <c r="FV136" s="280"/>
      <c r="FW136" s="280"/>
      <c r="FX136" s="280"/>
      <c r="FY136" s="280"/>
      <c r="FZ136" s="280"/>
      <c r="GA136" s="280"/>
      <c r="GB136" s="280"/>
      <c r="GC136" s="280"/>
      <c r="GD136" s="280"/>
      <c r="GE136" s="280"/>
      <c r="GF136" s="280"/>
      <c r="GG136" s="280"/>
      <c r="GH136" s="280"/>
      <c r="GI136" s="280"/>
      <c r="GJ136" s="280"/>
      <c r="GK136" s="280"/>
      <c r="GL136" s="280"/>
      <c r="GM136" s="280"/>
      <c r="GN136" s="280"/>
      <c r="GO136" s="280"/>
      <c r="GP136" s="280"/>
      <c r="GQ136" s="280"/>
      <c r="GR136" s="280"/>
      <c r="GS136" s="280"/>
      <c r="GT136" s="280"/>
      <c r="GU136" s="280"/>
      <c r="GV136" s="280"/>
      <c r="GW136" s="280"/>
      <c r="GX136" s="280"/>
      <c r="GY136" s="280"/>
      <c r="GZ136" s="280"/>
      <c r="HA136" s="280"/>
      <c r="HB136" s="280"/>
      <c r="HC136" s="280"/>
      <c r="HD136" s="280"/>
      <c r="HE136" s="280"/>
      <c r="HF136" s="280"/>
      <c r="HG136" s="280"/>
      <c r="HH136" s="280"/>
      <c r="HI136" s="280"/>
      <c r="HJ136" s="280"/>
      <c r="HK136" s="280"/>
      <c r="HL136" s="280"/>
      <c r="HM136" s="280"/>
      <c r="HN136" s="280"/>
      <c r="HO136" s="280"/>
      <c r="HP136" s="280"/>
      <c r="HQ136" s="280"/>
      <c r="HR136" s="280"/>
      <c r="HS136" s="280"/>
      <c r="HT136" s="280"/>
      <c r="HU136" s="280"/>
      <c r="HV136" s="280"/>
      <c r="HW136" s="280"/>
      <c r="HX136" s="280"/>
      <c r="HY136" s="280"/>
      <c r="HZ136" s="280"/>
      <c r="IA136" s="280"/>
      <c r="IB136" s="280"/>
      <c r="IC136" s="280"/>
      <c r="ID136" s="280"/>
      <c r="IE136" s="280"/>
      <c r="IF136" s="280"/>
      <c r="IG136" s="280"/>
      <c r="IH136" s="280"/>
      <c r="II136" s="280"/>
      <c r="IJ136" s="280"/>
    </row>
    <row r="137" spans="1:244" s="281" customFormat="1" ht="15">
      <c r="A137" s="280"/>
      <c r="D137" s="331"/>
      <c r="E137" s="331"/>
      <c r="F137" s="331"/>
      <c r="G137" s="321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0"/>
      <c r="BV137" s="280"/>
      <c r="BW137" s="280"/>
      <c r="BX137" s="280"/>
      <c r="BY137" s="280"/>
      <c r="BZ137" s="280"/>
      <c r="CA137" s="280"/>
      <c r="CB137" s="280"/>
      <c r="CC137" s="280"/>
      <c r="CD137" s="280"/>
      <c r="CE137" s="280"/>
      <c r="CF137" s="280"/>
      <c r="CG137" s="280"/>
      <c r="CH137" s="280"/>
      <c r="CI137" s="280"/>
      <c r="CJ137" s="280"/>
      <c r="CK137" s="280"/>
      <c r="CL137" s="280"/>
      <c r="CM137" s="280"/>
      <c r="CN137" s="280"/>
      <c r="CO137" s="280"/>
      <c r="CP137" s="280"/>
      <c r="CQ137" s="280"/>
      <c r="CR137" s="280"/>
      <c r="CS137" s="280"/>
      <c r="CT137" s="280"/>
      <c r="CU137" s="280"/>
      <c r="CV137" s="280"/>
      <c r="CW137" s="280"/>
      <c r="CX137" s="280"/>
      <c r="CY137" s="280"/>
      <c r="CZ137" s="280"/>
      <c r="DA137" s="280"/>
      <c r="DB137" s="280"/>
      <c r="DC137" s="280"/>
      <c r="DD137" s="280"/>
      <c r="DE137" s="280"/>
      <c r="DF137" s="280"/>
      <c r="DG137" s="280"/>
      <c r="DH137" s="280"/>
      <c r="DI137" s="280"/>
      <c r="DJ137" s="280"/>
      <c r="DK137" s="280"/>
      <c r="DL137" s="280"/>
      <c r="DM137" s="280"/>
      <c r="DN137" s="280"/>
      <c r="DO137" s="280"/>
      <c r="DP137" s="280"/>
      <c r="DQ137" s="280"/>
      <c r="DR137" s="280"/>
      <c r="DS137" s="320"/>
      <c r="DT137" s="320"/>
      <c r="DU137" s="321"/>
      <c r="DV137" s="321"/>
      <c r="DW137" s="321"/>
      <c r="DX137" s="321"/>
      <c r="DY137" s="321"/>
      <c r="DZ137" s="321"/>
      <c r="EA137" s="321"/>
      <c r="EB137" s="321"/>
      <c r="EC137" s="321"/>
      <c r="ED137" s="321"/>
      <c r="EE137" s="321"/>
      <c r="EF137" s="321"/>
      <c r="EG137" s="321"/>
      <c r="EH137" s="321"/>
      <c r="EI137" s="280"/>
      <c r="EJ137" s="280"/>
      <c r="EK137" s="280"/>
      <c r="EL137" s="280"/>
      <c r="EM137" s="280"/>
      <c r="EN137" s="280"/>
      <c r="EO137" s="280"/>
      <c r="EP137" s="280"/>
      <c r="EQ137" s="280"/>
      <c r="ER137" s="280"/>
      <c r="ES137" s="280"/>
      <c r="ET137" s="280"/>
      <c r="EU137" s="280"/>
      <c r="EV137" s="280"/>
      <c r="EW137" s="280"/>
      <c r="EX137" s="280"/>
      <c r="EY137" s="280"/>
      <c r="EZ137" s="280"/>
      <c r="FA137" s="280"/>
      <c r="FB137" s="280"/>
      <c r="FC137" s="280"/>
      <c r="FD137" s="280"/>
      <c r="FE137" s="280"/>
      <c r="FF137" s="280"/>
      <c r="FG137" s="280"/>
      <c r="FH137" s="280"/>
      <c r="FI137" s="280"/>
      <c r="FJ137" s="280"/>
      <c r="FK137" s="280"/>
      <c r="FL137" s="280"/>
      <c r="FM137" s="280"/>
      <c r="FN137" s="280"/>
      <c r="FO137" s="280"/>
      <c r="FP137" s="280"/>
      <c r="FQ137" s="280"/>
      <c r="FR137" s="280"/>
      <c r="FS137" s="280"/>
      <c r="FT137" s="280"/>
      <c r="FU137" s="280"/>
      <c r="FV137" s="280"/>
      <c r="FW137" s="280"/>
      <c r="FX137" s="280"/>
      <c r="FY137" s="280"/>
      <c r="FZ137" s="280"/>
      <c r="GA137" s="280"/>
      <c r="GB137" s="280"/>
      <c r="GC137" s="280"/>
      <c r="GD137" s="280"/>
      <c r="GE137" s="280"/>
      <c r="GF137" s="280"/>
      <c r="GG137" s="280"/>
      <c r="GH137" s="280"/>
      <c r="GI137" s="280"/>
      <c r="GJ137" s="280"/>
      <c r="GK137" s="280"/>
      <c r="GL137" s="280"/>
      <c r="GM137" s="280"/>
      <c r="GN137" s="280"/>
      <c r="GO137" s="280"/>
      <c r="GP137" s="280"/>
      <c r="GQ137" s="280"/>
      <c r="GR137" s="280"/>
      <c r="GS137" s="280"/>
      <c r="GT137" s="280"/>
      <c r="GU137" s="280"/>
      <c r="GV137" s="280"/>
      <c r="GW137" s="280"/>
      <c r="GX137" s="280"/>
      <c r="GY137" s="280"/>
      <c r="GZ137" s="280"/>
      <c r="HA137" s="280"/>
      <c r="HB137" s="280"/>
      <c r="HC137" s="280"/>
      <c r="HD137" s="280"/>
      <c r="HE137" s="280"/>
      <c r="HF137" s="280"/>
      <c r="HG137" s="280"/>
      <c r="HH137" s="280"/>
      <c r="HI137" s="280"/>
      <c r="HJ137" s="280"/>
      <c r="HK137" s="280"/>
      <c r="HL137" s="280"/>
      <c r="HM137" s="280"/>
      <c r="HN137" s="280"/>
      <c r="HO137" s="280"/>
      <c r="HP137" s="280"/>
      <c r="HQ137" s="280"/>
      <c r="HR137" s="280"/>
      <c r="HS137" s="280"/>
      <c r="HT137" s="280"/>
      <c r="HU137" s="280"/>
      <c r="HV137" s="280"/>
      <c r="HW137" s="280"/>
      <c r="HX137" s="280"/>
      <c r="HY137" s="280"/>
      <c r="HZ137" s="280"/>
      <c r="IA137" s="280"/>
      <c r="IB137" s="280"/>
      <c r="IC137" s="280"/>
      <c r="ID137" s="280"/>
      <c r="IE137" s="280"/>
      <c r="IF137" s="280"/>
      <c r="IG137" s="280"/>
      <c r="IH137" s="280"/>
      <c r="II137" s="280"/>
      <c r="IJ137" s="280"/>
    </row>
    <row r="138" spans="1:244" s="281" customFormat="1" ht="15">
      <c r="A138" s="280"/>
      <c r="D138" s="331"/>
      <c r="E138" s="331"/>
      <c r="F138" s="331"/>
      <c r="G138" s="321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  <c r="AV138" s="280"/>
      <c r="AW138" s="280"/>
      <c r="AX138" s="280"/>
      <c r="AY138" s="280"/>
      <c r="AZ138" s="280"/>
      <c r="BA138" s="280"/>
      <c r="BB138" s="280"/>
      <c r="BC138" s="280"/>
      <c r="BD138" s="280"/>
      <c r="BE138" s="280"/>
      <c r="BF138" s="280"/>
      <c r="BG138" s="280"/>
      <c r="BH138" s="280"/>
      <c r="BI138" s="280"/>
      <c r="BJ138" s="280"/>
      <c r="BK138" s="280"/>
      <c r="BL138" s="280"/>
      <c r="BM138" s="280"/>
      <c r="BN138" s="280"/>
      <c r="BO138" s="280"/>
      <c r="BP138" s="280"/>
      <c r="BQ138" s="280"/>
      <c r="BR138" s="280"/>
      <c r="BS138" s="280"/>
      <c r="BT138" s="280"/>
      <c r="BU138" s="280"/>
      <c r="BV138" s="280"/>
      <c r="BW138" s="280"/>
      <c r="BX138" s="280"/>
      <c r="BY138" s="280"/>
      <c r="BZ138" s="280"/>
      <c r="CA138" s="280"/>
      <c r="CB138" s="280"/>
      <c r="CC138" s="280"/>
      <c r="CD138" s="280"/>
      <c r="CE138" s="280"/>
      <c r="CF138" s="280"/>
      <c r="CG138" s="280"/>
      <c r="CH138" s="280"/>
      <c r="CI138" s="280"/>
      <c r="CJ138" s="280"/>
      <c r="CK138" s="280"/>
      <c r="CL138" s="280"/>
      <c r="CM138" s="280"/>
      <c r="CN138" s="280"/>
      <c r="CO138" s="280"/>
      <c r="CP138" s="280"/>
      <c r="CQ138" s="280"/>
      <c r="CR138" s="280"/>
      <c r="CS138" s="280"/>
      <c r="CT138" s="280"/>
      <c r="CU138" s="280"/>
      <c r="CV138" s="280"/>
      <c r="CW138" s="280"/>
      <c r="CX138" s="280"/>
      <c r="CY138" s="280"/>
      <c r="CZ138" s="280"/>
      <c r="DA138" s="280"/>
      <c r="DB138" s="280"/>
      <c r="DC138" s="280"/>
      <c r="DD138" s="280"/>
      <c r="DE138" s="280"/>
      <c r="DF138" s="280"/>
      <c r="DG138" s="280"/>
      <c r="DH138" s="280"/>
      <c r="DI138" s="280"/>
      <c r="DJ138" s="280"/>
      <c r="DK138" s="280"/>
      <c r="DL138" s="280"/>
      <c r="DM138" s="280"/>
      <c r="DN138" s="280"/>
      <c r="DO138" s="280"/>
      <c r="DP138" s="280"/>
      <c r="DQ138" s="280"/>
      <c r="DR138" s="280"/>
      <c r="DS138" s="320"/>
      <c r="DT138" s="320"/>
      <c r="DU138" s="321"/>
      <c r="DV138" s="321"/>
      <c r="DW138" s="321"/>
      <c r="DX138" s="321"/>
      <c r="DY138" s="321"/>
      <c r="DZ138" s="321"/>
      <c r="EA138" s="321"/>
      <c r="EB138" s="321"/>
      <c r="EC138" s="321"/>
      <c r="ED138" s="321"/>
      <c r="EE138" s="321"/>
      <c r="EF138" s="321"/>
      <c r="EG138" s="321"/>
      <c r="EH138" s="321"/>
      <c r="EI138" s="280"/>
      <c r="EJ138" s="280"/>
      <c r="EK138" s="280"/>
      <c r="EL138" s="280"/>
      <c r="EM138" s="280"/>
      <c r="EN138" s="280"/>
      <c r="EO138" s="280"/>
      <c r="EP138" s="280"/>
      <c r="EQ138" s="280"/>
      <c r="ER138" s="280"/>
      <c r="ES138" s="280"/>
      <c r="ET138" s="280"/>
      <c r="EU138" s="280"/>
      <c r="EV138" s="280"/>
      <c r="EW138" s="280"/>
      <c r="EX138" s="280"/>
      <c r="EY138" s="280"/>
      <c r="EZ138" s="280"/>
      <c r="FA138" s="280"/>
      <c r="FB138" s="280"/>
      <c r="FC138" s="280"/>
      <c r="FD138" s="280"/>
      <c r="FE138" s="280"/>
      <c r="FF138" s="280"/>
      <c r="FG138" s="280"/>
      <c r="FH138" s="280"/>
      <c r="FI138" s="280"/>
      <c r="FJ138" s="280"/>
      <c r="FK138" s="280"/>
      <c r="FL138" s="280"/>
      <c r="FM138" s="280"/>
      <c r="FN138" s="280"/>
      <c r="FO138" s="280"/>
      <c r="FP138" s="280"/>
      <c r="FQ138" s="280"/>
      <c r="FR138" s="280"/>
      <c r="FS138" s="280"/>
      <c r="FT138" s="280"/>
      <c r="FU138" s="280"/>
      <c r="FV138" s="280"/>
      <c r="FW138" s="280"/>
      <c r="FX138" s="280"/>
      <c r="FY138" s="280"/>
      <c r="FZ138" s="280"/>
      <c r="GA138" s="280"/>
      <c r="GB138" s="280"/>
      <c r="GC138" s="280"/>
      <c r="GD138" s="280"/>
      <c r="GE138" s="280"/>
      <c r="GF138" s="280"/>
      <c r="GG138" s="280"/>
      <c r="GH138" s="280"/>
      <c r="GI138" s="280"/>
      <c r="GJ138" s="280"/>
      <c r="GK138" s="280"/>
      <c r="GL138" s="280"/>
      <c r="GM138" s="280"/>
      <c r="GN138" s="280"/>
      <c r="GO138" s="280"/>
      <c r="GP138" s="280"/>
      <c r="GQ138" s="280"/>
      <c r="GR138" s="280"/>
      <c r="GS138" s="280"/>
      <c r="GT138" s="280"/>
      <c r="GU138" s="280"/>
      <c r="GV138" s="280"/>
      <c r="GW138" s="280"/>
      <c r="GX138" s="280"/>
      <c r="GY138" s="280"/>
      <c r="GZ138" s="280"/>
      <c r="HA138" s="280"/>
      <c r="HB138" s="280"/>
      <c r="HC138" s="280"/>
      <c r="HD138" s="280"/>
      <c r="HE138" s="280"/>
      <c r="HF138" s="280"/>
      <c r="HG138" s="280"/>
      <c r="HH138" s="280"/>
      <c r="HI138" s="280"/>
      <c r="HJ138" s="280"/>
      <c r="HK138" s="280"/>
      <c r="HL138" s="280"/>
      <c r="HM138" s="280"/>
      <c r="HN138" s="280"/>
      <c r="HO138" s="280"/>
      <c r="HP138" s="280"/>
      <c r="HQ138" s="280"/>
      <c r="HR138" s="280"/>
      <c r="HS138" s="280"/>
      <c r="HT138" s="280"/>
      <c r="HU138" s="280"/>
      <c r="HV138" s="280"/>
      <c r="HW138" s="280"/>
      <c r="HX138" s="280"/>
      <c r="HY138" s="280"/>
      <c r="HZ138" s="280"/>
      <c r="IA138" s="280"/>
      <c r="IB138" s="280"/>
      <c r="IC138" s="280"/>
      <c r="ID138" s="280"/>
      <c r="IE138" s="280"/>
      <c r="IF138" s="280"/>
      <c r="IG138" s="280"/>
      <c r="IH138" s="280"/>
      <c r="II138" s="280"/>
      <c r="IJ138" s="280"/>
    </row>
    <row r="139" spans="1:244" s="281" customFormat="1" ht="15">
      <c r="A139" s="280"/>
      <c r="D139" s="331"/>
      <c r="E139" s="331"/>
      <c r="F139" s="331"/>
      <c r="G139" s="321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  <c r="BA139" s="280"/>
      <c r="BB139" s="280"/>
      <c r="BC139" s="280"/>
      <c r="BD139" s="280"/>
      <c r="BE139" s="280"/>
      <c r="BF139" s="280"/>
      <c r="BG139" s="280"/>
      <c r="BH139" s="280"/>
      <c r="BI139" s="280"/>
      <c r="BJ139" s="280"/>
      <c r="BK139" s="280"/>
      <c r="BL139" s="280"/>
      <c r="BM139" s="280"/>
      <c r="BN139" s="280"/>
      <c r="BO139" s="280"/>
      <c r="BP139" s="280"/>
      <c r="BQ139" s="280"/>
      <c r="BR139" s="280"/>
      <c r="BS139" s="280"/>
      <c r="BT139" s="280"/>
      <c r="BU139" s="280"/>
      <c r="BV139" s="280"/>
      <c r="BW139" s="280"/>
      <c r="BX139" s="280"/>
      <c r="BY139" s="280"/>
      <c r="BZ139" s="280"/>
      <c r="CA139" s="280"/>
      <c r="CB139" s="280"/>
      <c r="CC139" s="280"/>
      <c r="CD139" s="280"/>
      <c r="CE139" s="280"/>
      <c r="CF139" s="280"/>
      <c r="CG139" s="280"/>
      <c r="CH139" s="280"/>
      <c r="CI139" s="280"/>
      <c r="CJ139" s="280"/>
      <c r="CK139" s="280"/>
      <c r="CL139" s="280"/>
      <c r="CM139" s="280"/>
      <c r="CN139" s="280"/>
      <c r="CO139" s="280"/>
      <c r="CP139" s="280"/>
      <c r="CQ139" s="280"/>
      <c r="CR139" s="280"/>
      <c r="CS139" s="280"/>
      <c r="CT139" s="280"/>
      <c r="CU139" s="280"/>
      <c r="CV139" s="280"/>
      <c r="CW139" s="280"/>
      <c r="CX139" s="280"/>
      <c r="CY139" s="280"/>
      <c r="CZ139" s="280"/>
      <c r="DA139" s="280"/>
      <c r="DB139" s="280"/>
      <c r="DC139" s="280"/>
      <c r="DD139" s="280"/>
      <c r="DE139" s="280"/>
      <c r="DF139" s="280"/>
      <c r="DG139" s="280"/>
      <c r="DH139" s="280"/>
      <c r="DI139" s="280"/>
      <c r="DJ139" s="280"/>
      <c r="DK139" s="280"/>
      <c r="DL139" s="280"/>
      <c r="DM139" s="280"/>
      <c r="DN139" s="280"/>
      <c r="DO139" s="280"/>
      <c r="DP139" s="280"/>
      <c r="DQ139" s="280"/>
      <c r="DR139" s="280"/>
      <c r="DS139" s="320"/>
      <c r="DT139" s="320"/>
      <c r="DU139" s="321"/>
      <c r="DV139" s="321"/>
      <c r="DW139" s="321"/>
      <c r="DX139" s="321"/>
      <c r="DY139" s="321"/>
      <c r="DZ139" s="321"/>
      <c r="EA139" s="321"/>
      <c r="EB139" s="321"/>
      <c r="EC139" s="321"/>
      <c r="ED139" s="321"/>
      <c r="EE139" s="321"/>
      <c r="EF139" s="321"/>
      <c r="EG139" s="321"/>
      <c r="EH139" s="321"/>
      <c r="EI139" s="280"/>
      <c r="EJ139" s="280"/>
      <c r="EK139" s="280"/>
      <c r="EL139" s="280"/>
      <c r="EM139" s="280"/>
      <c r="EN139" s="280"/>
      <c r="EO139" s="280"/>
      <c r="EP139" s="280"/>
      <c r="EQ139" s="280"/>
      <c r="ER139" s="280"/>
      <c r="ES139" s="280"/>
      <c r="ET139" s="280"/>
      <c r="EU139" s="280"/>
      <c r="EV139" s="280"/>
      <c r="EW139" s="280"/>
      <c r="EX139" s="280"/>
      <c r="EY139" s="280"/>
      <c r="EZ139" s="280"/>
      <c r="FA139" s="280"/>
      <c r="FB139" s="280"/>
      <c r="FC139" s="280"/>
      <c r="FD139" s="280"/>
      <c r="FE139" s="280"/>
      <c r="FF139" s="280"/>
      <c r="FG139" s="280"/>
      <c r="FH139" s="280"/>
      <c r="FI139" s="280"/>
      <c r="FJ139" s="280"/>
      <c r="FK139" s="280"/>
      <c r="FL139" s="280"/>
      <c r="FM139" s="280"/>
      <c r="FN139" s="280"/>
      <c r="FO139" s="280"/>
      <c r="FP139" s="280"/>
      <c r="FQ139" s="280"/>
      <c r="FR139" s="280"/>
      <c r="FS139" s="280"/>
      <c r="FT139" s="280"/>
      <c r="FU139" s="280"/>
      <c r="FV139" s="280"/>
      <c r="FW139" s="280"/>
      <c r="FX139" s="280"/>
      <c r="FY139" s="280"/>
      <c r="FZ139" s="280"/>
      <c r="GA139" s="280"/>
      <c r="GB139" s="280"/>
      <c r="GC139" s="280"/>
      <c r="GD139" s="280"/>
      <c r="GE139" s="280"/>
      <c r="GF139" s="280"/>
      <c r="GG139" s="280"/>
      <c r="GH139" s="280"/>
      <c r="GI139" s="280"/>
      <c r="GJ139" s="280"/>
      <c r="GK139" s="280"/>
      <c r="GL139" s="280"/>
      <c r="GM139" s="280"/>
      <c r="GN139" s="280"/>
      <c r="GO139" s="280"/>
      <c r="GP139" s="280"/>
      <c r="GQ139" s="280"/>
      <c r="GR139" s="280"/>
      <c r="GS139" s="280"/>
      <c r="GT139" s="280"/>
      <c r="GU139" s="280"/>
      <c r="GV139" s="280"/>
      <c r="GW139" s="280"/>
      <c r="GX139" s="280"/>
      <c r="GY139" s="280"/>
      <c r="GZ139" s="280"/>
      <c r="HA139" s="280"/>
      <c r="HB139" s="280"/>
      <c r="HC139" s="280"/>
      <c r="HD139" s="280"/>
      <c r="HE139" s="280"/>
      <c r="HF139" s="280"/>
      <c r="HG139" s="280"/>
      <c r="HH139" s="280"/>
      <c r="HI139" s="280"/>
      <c r="HJ139" s="280"/>
      <c r="HK139" s="280"/>
      <c r="HL139" s="280"/>
      <c r="HM139" s="280"/>
      <c r="HN139" s="280"/>
      <c r="HO139" s="280"/>
      <c r="HP139" s="280"/>
      <c r="HQ139" s="280"/>
      <c r="HR139" s="280"/>
      <c r="HS139" s="280"/>
      <c r="HT139" s="280"/>
      <c r="HU139" s="280"/>
      <c r="HV139" s="280"/>
      <c r="HW139" s="280"/>
      <c r="HX139" s="280"/>
      <c r="HY139" s="280"/>
      <c r="HZ139" s="280"/>
      <c r="IA139" s="280"/>
      <c r="IB139" s="280"/>
      <c r="IC139" s="280"/>
      <c r="ID139" s="280"/>
      <c r="IE139" s="280"/>
      <c r="IF139" s="280"/>
      <c r="IG139" s="280"/>
      <c r="IH139" s="280"/>
      <c r="II139" s="280"/>
      <c r="IJ139" s="280"/>
    </row>
    <row r="140" spans="1:244" s="281" customFormat="1" ht="15">
      <c r="A140" s="280"/>
      <c r="D140" s="331"/>
      <c r="E140" s="331"/>
      <c r="F140" s="331"/>
      <c r="G140" s="321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  <c r="BH140" s="280"/>
      <c r="BI140" s="280"/>
      <c r="BJ140" s="280"/>
      <c r="BK140" s="280"/>
      <c r="BL140" s="280"/>
      <c r="BM140" s="280"/>
      <c r="BN140" s="280"/>
      <c r="BO140" s="280"/>
      <c r="BP140" s="280"/>
      <c r="BQ140" s="280"/>
      <c r="BR140" s="280"/>
      <c r="BS140" s="280"/>
      <c r="BT140" s="280"/>
      <c r="BU140" s="280"/>
      <c r="BV140" s="280"/>
      <c r="BW140" s="280"/>
      <c r="BX140" s="280"/>
      <c r="BY140" s="280"/>
      <c r="BZ140" s="280"/>
      <c r="CA140" s="280"/>
      <c r="CB140" s="280"/>
      <c r="CC140" s="280"/>
      <c r="CD140" s="280"/>
      <c r="CE140" s="280"/>
      <c r="CF140" s="280"/>
      <c r="CG140" s="280"/>
      <c r="CH140" s="280"/>
      <c r="CI140" s="280"/>
      <c r="CJ140" s="280"/>
      <c r="CK140" s="280"/>
      <c r="CL140" s="280"/>
      <c r="CM140" s="280"/>
      <c r="CN140" s="280"/>
      <c r="CO140" s="280"/>
      <c r="CP140" s="280"/>
      <c r="CQ140" s="280"/>
      <c r="CR140" s="280"/>
      <c r="CS140" s="280"/>
      <c r="CT140" s="280"/>
      <c r="CU140" s="280"/>
      <c r="CV140" s="280"/>
      <c r="CW140" s="280"/>
      <c r="CX140" s="280"/>
      <c r="CY140" s="280"/>
      <c r="CZ140" s="280"/>
      <c r="DA140" s="280"/>
      <c r="DB140" s="280"/>
      <c r="DC140" s="280"/>
      <c r="DD140" s="280"/>
      <c r="DE140" s="280"/>
      <c r="DF140" s="280"/>
      <c r="DG140" s="280"/>
      <c r="DH140" s="280"/>
      <c r="DI140" s="280"/>
      <c r="DJ140" s="280"/>
      <c r="DK140" s="280"/>
      <c r="DL140" s="280"/>
      <c r="DM140" s="280"/>
      <c r="DN140" s="280"/>
      <c r="DO140" s="280"/>
      <c r="DP140" s="280"/>
      <c r="DQ140" s="280"/>
      <c r="DR140" s="280"/>
      <c r="DS140" s="320"/>
      <c r="DT140" s="320"/>
      <c r="DU140" s="321"/>
      <c r="DV140" s="321"/>
      <c r="DW140" s="321"/>
      <c r="DX140" s="321"/>
      <c r="DY140" s="321"/>
      <c r="DZ140" s="321"/>
      <c r="EA140" s="321"/>
      <c r="EB140" s="321"/>
      <c r="EC140" s="321"/>
      <c r="ED140" s="321"/>
      <c r="EE140" s="321"/>
      <c r="EF140" s="321"/>
      <c r="EG140" s="321"/>
      <c r="EH140" s="321"/>
      <c r="EI140" s="280"/>
      <c r="EJ140" s="280"/>
      <c r="EK140" s="280"/>
      <c r="EL140" s="280"/>
      <c r="EM140" s="280"/>
      <c r="EN140" s="280"/>
      <c r="EO140" s="280"/>
      <c r="EP140" s="280"/>
      <c r="EQ140" s="280"/>
      <c r="ER140" s="280"/>
      <c r="ES140" s="280"/>
      <c r="ET140" s="280"/>
      <c r="EU140" s="280"/>
      <c r="EV140" s="280"/>
      <c r="EW140" s="280"/>
      <c r="EX140" s="280"/>
      <c r="EY140" s="280"/>
      <c r="EZ140" s="280"/>
      <c r="FA140" s="280"/>
      <c r="FB140" s="280"/>
      <c r="FC140" s="280"/>
      <c r="FD140" s="280"/>
      <c r="FE140" s="280"/>
      <c r="FF140" s="280"/>
      <c r="FG140" s="280"/>
      <c r="FH140" s="280"/>
      <c r="FI140" s="280"/>
      <c r="FJ140" s="280"/>
      <c r="FK140" s="280"/>
      <c r="FL140" s="280"/>
      <c r="FM140" s="280"/>
      <c r="FN140" s="280"/>
      <c r="FO140" s="280"/>
      <c r="FP140" s="280"/>
      <c r="FQ140" s="280"/>
      <c r="FR140" s="280"/>
      <c r="FS140" s="280"/>
      <c r="FT140" s="280"/>
      <c r="FU140" s="280"/>
      <c r="FV140" s="280"/>
      <c r="FW140" s="280"/>
      <c r="FX140" s="280"/>
      <c r="FY140" s="280"/>
      <c r="FZ140" s="280"/>
      <c r="GA140" s="280"/>
      <c r="GB140" s="280"/>
      <c r="GC140" s="280"/>
      <c r="GD140" s="280"/>
      <c r="GE140" s="280"/>
      <c r="GF140" s="280"/>
      <c r="GG140" s="280"/>
      <c r="GH140" s="280"/>
      <c r="GI140" s="280"/>
      <c r="GJ140" s="280"/>
      <c r="GK140" s="280"/>
      <c r="GL140" s="280"/>
      <c r="GM140" s="280"/>
      <c r="GN140" s="280"/>
      <c r="GO140" s="280"/>
      <c r="GP140" s="280"/>
      <c r="GQ140" s="280"/>
      <c r="GR140" s="280"/>
      <c r="GS140" s="280"/>
      <c r="GT140" s="280"/>
      <c r="GU140" s="280"/>
      <c r="GV140" s="280"/>
      <c r="GW140" s="280"/>
      <c r="GX140" s="280"/>
      <c r="GY140" s="280"/>
      <c r="GZ140" s="280"/>
      <c r="HA140" s="280"/>
      <c r="HB140" s="280"/>
      <c r="HC140" s="280"/>
      <c r="HD140" s="280"/>
      <c r="HE140" s="280"/>
      <c r="HF140" s="280"/>
      <c r="HG140" s="280"/>
      <c r="HH140" s="280"/>
      <c r="HI140" s="280"/>
      <c r="HJ140" s="280"/>
      <c r="HK140" s="280"/>
      <c r="HL140" s="280"/>
      <c r="HM140" s="280"/>
      <c r="HN140" s="280"/>
      <c r="HO140" s="280"/>
      <c r="HP140" s="280"/>
      <c r="HQ140" s="280"/>
      <c r="HR140" s="280"/>
      <c r="HS140" s="280"/>
      <c r="HT140" s="280"/>
      <c r="HU140" s="280"/>
      <c r="HV140" s="280"/>
      <c r="HW140" s="280"/>
      <c r="HX140" s="280"/>
      <c r="HY140" s="280"/>
      <c r="HZ140" s="280"/>
      <c r="IA140" s="280"/>
      <c r="IB140" s="280"/>
      <c r="IC140" s="280"/>
      <c r="ID140" s="280"/>
      <c r="IE140" s="280"/>
      <c r="IF140" s="280"/>
      <c r="IG140" s="280"/>
      <c r="IH140" s="280"/>
      <c r="II140" s="280"/>
      <c r="IJ140" s="280"/>
    </row>
    <row r="141" spans="1:244" s="281" customFormat="1" ht="15">
      <c r="A141" s="280"/>
      <c r="D141" s="331"/>
      <c r="E141" s="331"/>
      <c r="F141" s="331"/>
      <c r="G141" s="321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0"/>
      <c r="DF141" s="280"/>
      <c r="DG141" s="280"/>
      <c r="DH141" s="280"/>
      <c r="DI141" s="280"/>
      <c r="DJ141" s="280"/>
      <c r="DK141" s="280"/>
      <c r="DL141" s="280"/>
      <c r="DM141" s="280"/>
      <c r="DN141" s="280"/>
      <c r="DO141" s="280"/>
      <c r="DP141" s="280"/>
      <c r="DQ141" s="280"/>
      <c r="DR141" s="280"/>
      <c r="DS141" s="320"/>
      <c r="DT141" s="320"/>
      <c r="DU141" s="321"/>
      <c r="DV141" s="321"/>
      <c r="DW141" s="328"/>
      <c r="DX141" s="321"/>
      <c r="DY141" s="321"/>
      <c r="DZ141" s="321"/>
      <c r="EA141" s="321"/>
      <c r="EB141" s="321"/>
      <c r="EC141" s="321"/>
      <c r="ED141" s="321"/>
      <c r="EE141" s="321"/>
      <c r="EF141" s="321"/>
      <c r="EG141" s="321"/>
      <c r="EH141" s="321"/>
      <c r="EI141" s="280"/>
      <c r="EJ141" s="280"/>
      <c r="EK141" s="280"/>
      <c r="EL141" s="280"/>
      <c r="EM141" s="280"/>
      <c r="EN141" s="280"/>
      <c r="EO141" s="280"/>
      <c r="EP141" s="280"/>
      <c r="EQ141" s="280"/>
      <c r="ER141" s="280"/>
      <c r="ES141" s="280"/>
      <c r="ET141" s="280"/>
      <c r="EU141" s="280"/>
      <c r="EV141" s="280"/>
      <c r="EW141" s="280"/>
      <c r="EX141" s="280"/>
      <c r="EY141" s="280"/>
      <c r="EZ141" s="280"/>
      <c r="FA141" s="280"/>
      <c r="FB141" s="280"/>
      <c r="FC141" s="280"/>
      <c r="FD141" s="280"/>
      <c r="FE141" s="280"/>
      <c r="FF141" s="280"/>
      <c r="FG141" s="280"/>
      <c r="FH141" s="280"/>
      <c r="FI141" s="280"/>
      <c r="FJ141" s="280"/>
      <c r="FK141" s="280"/>
      <c r="FL141" s="280"/>
      <c r="FM141" s="280"/>
      <c r="FN141" s="280"/>
      <c r="FO141" s="280"/>
      <c r="FP141" s="280"/>
      <c r="FQ141" s="280"/>
      <c r="FR141" s="280"/>
      <c r="FS141" s="280"/>
      <c r="FT141" s="280"/>
      <c r="FU141" s="280"/>
      <c r="FV141" s="280"/>
      <c r="FW141" s="280"/>
      <c r="FX141" s="280"/>
      <c r="FY141" s="280"/>
      <c r="FZ141" s="280"/>
      <c r="GA141" s="280"/>
      <c r="GB141" s="280"/>
      <c r="GC141" s="280"/>
      <c r="GD141" s="280"/>
      <c r="GE141" s="280"/>
      <c r="GF141" s="280"/>
      <c r="GG141" s="280"/>
      <c r="GH141" s="280"/>
      <c r="GI141" s="280"/>
      <c r="GJ141" s="280"/>
      <c r="GK141" s="280"/>
      <c r="GL141" s="280"/>
      <c r="GM141" s="280"/>
      <c r="GN141" s="280"/>
      <c r="GO141" s="280"/>
      <c r="GP141" s="280"/>
      <c r="GQ141" s="280"/>
      <c r="GR141" s="280"/>
      <c r="GS141" s="280"/>
      <c r="GT141" s="280"/>
      <c r="GU141" s="280"/>
      <c r="GV141" s="280"/>
      <c r="GW141" s="280"/>
      <c r="GX141" s="280"/>
      <c r="GY141" s="280"/>
      <c r="GZ141" s="280"/>
      <c r="HA141" s="280"/>
      <c r="HB141" s="280"/>
      <c r="HC141" s="280"/>
      <c r="HD141" s="280"/>
      <c r="HE141" s="280"/>
      <c r="HF141" s="280"/>
      <c r="HG141" s="280"/>
      <c r="HH141" s="280"/>
      <c r="HI141" s="280"/>
      <c r="HJ141" s="280"/>
      <c r="HK141" s="280"/>
      <c r="HL141" s="280"/>
      <c r="HM141" s="280"/>
      <c r="HN141" s="280"/>
      <c r="HO141" s="280"/>
      <c r="HP141" s="280"/>
      <c r="HQ141" s="280"/>
      <c r="HR141" s="280"/>
      <c r="HS141" s="280"/>
      <c r="HT141" s="280"/>
      <c r="HU141" s="280"/>
      <c r="HV141" s="280"/>
      <c r="HW141" s="280"/>
      <c r="HX141" s="280"/>
      <c r="HY141" s="280"/>
      <c r="HZ141" s="280"/>
      <c r="IA141" s="280"/>
      <c r="IB141" s="280"/>
      <c r="IC141" s="280"/>
      <c r="ID141" s="280"/>
      <c r="IE141" s="280"/>
      <c r="IF141" s="280"/>
      <c r="IG141" s="280"/>
      <c r="IH141" s="280"/>
      <c r="II141" s="280"/>
      <c r="IJ141" s="280"/>
    </row>
    <row r="142" spans="1:244" s="281" customFormat="1" ht="15">
      <c r="A142" s="280"/>
      <c r="D142" s="331"/>
      <c r="E142" s="331"/>
      <c r="F142" s="331"/>
      <c r="G142" s="321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  <c r="BA142" s="280"/>
      <c r="BB142" s="280"/>
      <c r="BC142" s="280"/>
      <c r="BD142" s="280"/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  <c r="CP142" s="280"/>
      <c r="CQ142" s="280"/>
      <c r="CR142" s="280"/>
      <c r="CS142" s="280"/>
      <c r="CT142" s="280"/>
      <c r="CU142" s="280"/>
      <c r="CV142" s="280"/>
      <c r="CW142" s="280"/>
      <c r="CX142" s="280"/>
      <c r="CY142" s="280"/>
      <c r="CZ142" s="280"/>
      <c r="DA142" s="280"/>
      <c r="DB142" s="280"/>
      <c r="DC142" s="280"/>
      <c r="DD142" s="280"/>
      <c r="DE142" s="280"/>
      <c r="DF142" s="280"/>
      <c r="DG142" s="280"/>
      <c r="DH142" s="280"/>
      <c r="DI142" s="280"/>
      <c r="DJ142" s="280"/>
      <c r="DK142" s="280"/>
      <c r="DL142" s="280"/>
      <c r="DM142" s="280"/>
      <c r="DN142" s="280"/>
      <c r="DO142" s="280"/>
      <c r="DP142" s="280"/>
      <c r="DQ142" s="280"/>
      <c r="DR142" s="280"/>
      <c r="DS142" s="320"/>
      <c r="DT142" s="320"/>
      <c r="DU142" s="321"/>
      <c r="DV142" s="321"/>
      <c r="DW142" s="321"/>
      <c r="DX142" s="321"/>
      <c r="DY142" s="321"/>
      <c r="DZ142" s="321"/>
      <c r="EA142" s="321"/>
      <c r="EB142" s="321"/>
      <c r="EC142" s="321"/>
      <c r="ED142" s="321"/>
      <c r="EE142" s="321"/>
      <c r="EF142" s="321"/>
      <c r="EG142" s="321"/>
      <c r="EH142" s="321"/>
      <c r="EI142" s="280"/>
      <c r="EJ142" s="280"/>
      <c r="EK142" s="280"/>
      <c r="EL142" s="280"/>
      <c r="EM142" s="280"/>
      <c r="EN142" s="280"/>
      <c r="EO142" s="280"/>
      <c r="EP142" s="280"/>
      <c r="EQ142" s="280"/>
      <c r="ER142" s="280"/>
      <c r="ES142" s="280"/>
      <c r="ET142" s="280"/>
      <c r="EU142" s="280"/>
      <c r="EV142" s="280"/>
      <c r="EW142" s="280"/>
      <c r="EX142" s="280"/>
      <c r="EY142" s="280"/>
      <c r="EZ142" s="280"/>
      <c r="FA142" s="280"/>
      <c r="FB142" s="280"/>
      <c r="FC142" s="280"/>
      <c r="FD142" s="280"/>
      <c r="FE142" s="280"/>
      <c r="FF142" s="280"/>
      <c r="FG142" s="280"/>
      <c r="FH142" s="280"/>
      <c r="FI142" s="280"/>
      <c r="FJ142" s="280"/>
      <c r="FK142" s="280"/>
      <c r="FL142" s="280"/>
      <c r="FM142" s="280"/>
      <c r="FN142" s="280"/>
      <c r="FO142" s="280"/>
      <c r="FP142" s="280"/>
      <c r="FQ142" s="280"/>
      <c r="FR142" s="280"/>
      <c r="FS142" s="280"/>
      <c r="FT142" s="280"/>
      <c r="FU142" s="280"/>
      <c r="FV142" s="280"/>
      <c r="FW142" s="280"/>
      <c r="FX142" s="280"/>
      <c r="FY142" s="280"/>
      <c r="FZ142" s="280"/>
      <c r="GA142" s="280"/>
      <c r="GB142" s="280"/>
      <c r="GC142" s="280"/>
      <c r="GD142" s="280"/>
      <c r="GE142" s="280"/>
      <c r="GF142" s="280"/>
      <c r="GG142" s="280"/>
      <c r="GH142" s="280"/>
      <c r="GI142" s="280"/>
      <c r="GJ142" s="280"/>
      <c r="GK142" s="280"/>
      <c r="GL142" s="280"/>
      <c r="GM142" s="280"/>
      <c r="GN142" s="280"/>
      <c r="GO142" s="280"/>
      <c r="GP142" s="280"/>
      <c r="GQ142" s="280"/>
      <c r="GR142" s="280"/>
      <c r="GS142" s="280"/>
      <c r="GT142" s="280"/>
      <c r="GU142" s="280"/>
      <c r="GV142" s="280"/>
      <c r="GW142" s="280"/>
      <c r="GX142" s="280"/>
      <c r="GY142" s="280"/>
      <c r="GZ142" s="280"/>
      <c r="HA142" s="280"/>
      <c r="HB142" s="280"/>
      <c r="HC142" s="280"/>
      <c r="HD142" s="280"/>
      <c r="HE142" s="280"/>
      <c r="HF142" s="280"/>
      <c r="HG142" s="280"/>
      <c r="HH142" s="280"/>
      <c r="HI142" s="280"/>
      <c r="HJ142" s="280"/>
      <c r="HK142" s="280"/>
      <c r="HL142" s="280"/>
      <c r="HM142" s="280"/>
      <c r="HN142" s="280"/>
      <c r="HO142" s="280"/>
      <c r="HP142" s="280"/>
      <c r="HQ142" s="280"/>
      <c r="HR142" s="280"/>
      <c r="HS142" s="280"/>
      <c r="HT142" s="280"/>
      <c r="HU142" s="280"/>
      <c r="HV142" s="280"/>
      <c r="HW142" s="280"/>
      <c r="HX142" s="280"/>
      <c r="HY142" s="280"/>
      <c r="HZ142" s="280"/>
      <c r="IA142" s="280"/>
      <c r="IB142" s="280"/>
      <c r="IC142" s="280"/>
      <c r="ID142" s="280"/>
      <c r="IE142" s="280"/>
      <c r="IF142" s="280"/>
      <c r="IG142" s="280"/>
      <c r="IH142" s="280"/>
      <c r="II142" s="280"/>
      <c r="IJ142" s="280"/>
    </row>
    <row r="143" spans="1:244" s="281" customFormat="1" ht="15">
      <c r="A143" s="280"/>
      <c r="D143" s="331"/>
      <c r="E143" s="331"/>
      <c r="F143" s="331"/>
      <c r="G143" s="321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0"/>
      <c r="AZ143" s="280"/>
      <c r="BA143" s="280"/>
      <c r="BB143" s="280"/>
      <c r="BC143" s="280"/>
      <c r="BD143" s="280"/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  <c r="CP143" s="280"/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  <c r="DE143" s="280"/>
      <c r="DF143" s="280"/>
      <c r="DG143" s="280"/>
      <c r="DH143" s="280"/>
      <c r="DI143" s="280"/>
      <c r="DJ143" s="280"/>
      <c r="DK143" s="280"/>
      <c r="DL143" s="280"/>
      <c r="DM143" s="280"/>
      <c r="DN143" s="280"/>
      <c r="DO143" s="280"/>
      <c r="DP143" s="280"/>
      <c r="DQ143" s="280"/>
      <c r="DR143" s="280"/>
      <c r="DS143" s="320"/>
      <c r="DT143" s="320"/>
      <c r="DU143" s="321"/>
      <c r="DV143" s="321"/>
      <c r="DW143" s="321"/>
      <c r="DX143" s="321"/>
      <c r="DY143" s="321"/>
      <c r="DZ143" s="321"/>
      <c r="EA143" s="321"/>
      <c r="EB143" s="321"/>
      <c r="EC143" s="321"/>
      <c r="ED143" s="321"/>
      <c r="EE143" s="321"/>
      <c r="EF143" s="321"/>
      <c r="EG143" s="321"/>
      <c r="EH143" s="321"/>
      <c r="EI143" s="280"/>
      <c r="EJ143" s="280"/>
      <c r="EK143" s="280"/>
      <c r="EL143" s="280"/>
      <c r="EM143" s="280"/>
      <c r="EN143" s="280"/>
      <c r="EO143" s="280"/>
      <c r="EP143" s="280"/>
      <c r="EQ143" s="280"/>
      <c r="ER143" s="280"/>
      <c r="ES143" s="280"/>
      <c r="ET143" s="280"/>
      <c r="EU143" s="280"/>
      <c r="EV143" s="280"/>
      <c r="EW143" s="280"/>
      <c r="EX143" s="280"/>
      <c r="EY143" s="280"/>
      <c r="EZ143" s="280"/>
      <c r="FA143" s="280"/>
      <c r="FB143" s="280"/>
      <c r="FC143" s="280"/>
      <c r="FD143" s="280"/>
      <c r="FE143" s="280"/>
      <c r="FF143" s="280"/>
      <c r="FG143" s="280"/>
      <c r="FH143" s="280"/>
      <c r="FI143" s="280"/>
      <c r="FJ143" s="280"/>
      <c r="FK143" s="280"/>
      <c r="FL143" s="280"/>
      <c r="FM143" s="280"/>
      <c r="FN143" s="280"/>
      <c r="FO143" s="280"/>
      <c r="FP143" s="280"/>
      <c r="FQ143" s="280"/>
      <c r="FR143" s="280"/>
      <c r="FS143" s="280"/>
      <c r="FT143" s="280"/>
      <c r="FU143" s="280"/>
      <c r="FV143" s="280"/>
      <c r="FW143" s="280"/>
      <c r="FX143" s="280"/>
      <c r="FY143" s="280"/>
      <c r="FZ143" s="280"/>
      <c r="GA143" s="280"/>
      <c r="GB143" s="280"/>
      <c r="GC143" s="280"/>
      <c r="GD143" s="280"/>
      <c r="GE143" s="280"/>
      <c r="GF143" s="280"/>
      <c r="GG143" s="280"/>
      <c r="GH143" s="280"/>
      <c r="GI143" s="280"/>
      <c r="GJ143" s="280"/>
      <c r="GK143" s="280"/>
      <c r="GL143" s="280"/>
      <c r="GM143" s="280"/>
      <c r="GN143" s="280"/>
      <c r="GO143" s="280"/>
      <c r="GP143" s="280"/>
      <c r="GQ143" s="280"/>
      <c r="GR143" s="280"/>
      <c r="GS143" s="280"/>
      <c r="GT143" s="280"/>
      <c r="GU143" s="280"/>
      <c r="GV143" s="280"/>
      <c r="GW143" s="280"/>
      <c r="GX143" s="280"/>
      <c r="GY143" s="280"/>
      <c r="GZ143" s="280"/>
      <c r="HA143" s="280"/>
      <c r="HB143" s="280"/>
      <c r="HC143" s="280"/>
      <c r="HD143" s="280"/>
      <c r="HE143" s="280"/>
      <c r="HF143" s="280"/>
      <c r="HG143" s="280"/>
      <c r="HH143" s="280"/>
      <c r="HI143" s="280"/>
      <c r="HJ143" s="280"/>
      <c r="HK143" s="280"/>
      <c r="HL143" s="280"/>
      <c r="HM143" s="280"/>
      <c r="HN143" s="280"/>
      <c r="HO143" s="280"/>
      <c r="HP143" s="280"/>
      <c r="HQ143" s="280"/>
      <c r="HR143" s="280"/>
      <c r="HS143" s="280"/>
      <c r="HT143" s="280"/>
      <c r="HU143" s="280"/>
      <c r="HV143" s="280"/>
      <c r="HW143" s="280"/>
      <c r="HX143" s="280"/>
      <c r="HY143" s="280"/>
      <c r="HZ143" s="280"/>
      <c r="IA143" s="280"/>
      <c r="IB143" s="280"/>
      <c r="IC143" s="280"/>
      <c r="ID143" s="280"/>
      <c r="IE143" s="280"/>
      <c r="IF143" s="280"/>
      <c r="IG143" s="280"/>
      <c r="IH143" s="280"/>
      <c r="II143" s="280"/>
      <c r="IJ143" s="280"/>
    </row>
    <row r="144" spans="1:244" s="281" customFormat="1" ht="15">
      <c r="A144" s="280"/>
      <c r="D144" s="332"/>
      <c r="E144" s="332"/>
      <c r="F144" s="331"/>
      <c r="G144" s="321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280"/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  <c r="CP144" s="280"/>
      <c r="CQ144" s="280"/>
      <c r="CR144" s="280"/>
      <c r="CS144" s="280"/>
      <c r="CT144" s="280"/>
      <c r="CU144" s="280"/>
      <c r="CV144" s="280"/>
      <c r="CW144" s="280"/>
      <c r="CX144" s="280"/>
      <c r="CY144" s="280"/>
      <c r="CZ144" s="280"/>
      <c r="DA144" s="280"/>
      <c r="DB144" s="280"/>
      <c r="DC144" s="280"/>
      <c r="DD144" s="280"/>
      <c r="DE144" s="280"/>
      <c r="DF144" s="280"/>
      <c r="DG144" s="280"/>
      <c r="DH144" s="280"/>
      <c r="DI144" s="280"/>
      <c r="DJ144" s="280"/>
      <c r="DK144" s="280"/>
      <c r="DL144" s="280"/>
      <c r="DM144" s="280"/>
      <c r="DN144" s="280"/>
      <c r="DO144" s="280"/>
      <c r="DP144" s="280"/>
      <c r="DQ144" s="280"/>
      <c r="DR144" s="280"/>
      <c r="DS144" s="320"/>
      <c r="DT144" s="320"/>
      <c r="DU144" s="321"/>
      <c r="DV144" s="321"/>
      <c r="DW144" s="321"/>
      <c r="DX144" s="321"/>
      <c r="DY144" s="321"/>
      <c r="DZ144" s="321"/>
      <c r="EA144" s="321"/>
      <c r="EB144" s="321"/>
      <c r="EC144" s="321"/>
      <c r="ED144" s="321"/>
      <c r="EE144" s="321"/>
      <c r="EF144" s="321"/>
      <c r="EG144" s="321"/>
      <c r="EH144" s="321"/>
      <c r="EI144" s="280"/>
      <c r="EJ144" s="280"/>
      <c r="EK144" s="280"/>
      <c r="EL144" s="280"/>
      <c r="EM144" s="280"/>
      <c r="EN144" s="280"/>
      <c r="EO144" s="280"/>
      <c r="EP144" s="280"/>
      <c r="EQ144" s="280"/>
      <c r="ER144" s="280"/>
      <c r="ES144" s="280"/>
      <c r="ET144" s="280"/>
      <c r="EU144" s="280"/>
      <c r="EV144" s="280"/>
      <c r="EW144" s="280"/>
      <c r="EX144" s="280"/>
      <c r="EY144" s="280"/>
      <c r="EZ144" s="280"/>
      <c r="FA144" s="280"/>
      <c r="FB144" s="280"/>
      <c r="FC144" s="280"/>
      <c r="FD144" s="280"/>
      <c r="FE144" s="280"/>
      <c r="FF144" s="280"/>
      <c r="FG144" s="280"/>
      <c r="FH144" s="280"/>
      <c r="FI144" s="280"/>
      <c r="FJ144" s="280"/>
      <c r="FK144" s="280"/>
      <c r="FL144" s="280"/>
      <c r="FM144" s="280"/>
      <c r="FN144" s="280"/>
      <c r="FO144" s="280"/>
      <c r="FP144" s="280"/>
      <c r="FQ144" s="280"/>
      <c r="FR144" s="280"/>
      <c r="FS144" s="280"/>
      <c r="FT144" s="280"/>
      <c r="FU144" s="280"/>
      <c r="FV144" s="280"/>
      <c r="FW144" s="280"/>
      <c r="FX144" s="280"/>
      <c r="FY144" s="280"/>
      <c r="FZ144" s="280"/>
      <c r="GA144" s="280"/>
      <c r="GB144" s="280"/>
      <c r="GC144" s="280"/>
      <c r="GD144" s="280"/>
      <c r="GE144" s="280"/>
      <c r="GF144" s="280"/>
      <c r="GG144" s="280"/>
      <c r="GH144" s="280"/>
      <c r="GI144" s="280"/>
      <c r="GJ144" s="280"/>
      <c r="GK144" s="280"/>
      <c r="GL144" s="280"/>
      <c r="GM144" s="280"/>
      <c r="GN144" s="280"/>
      <c r="GO144" s="280"/>
      <c r="GP144" s="280"/>
      <c r="GQ144" s="280"/>
      <c r="GR144" s="280"/>
      <c r="GS144" s="280"/>
      <c r="GT144" s="280"/>
      <c r="GU144" s="280"/>
      <c r="GV144" s="280"/>
      <c r="GW144" s="280"/>
      <c r="GX144" s="280"/>
      <c r="GY144" s="280"/>
      <c r="GZ144" s="280"/>
      <c r="HA144" s="280"/>
      <c r="HB144" s="280"/>
      <c r="HC144" s="280"/>
      <c r="HD144" s="280"/>
      <c r="HE144" s="280"/>
      <c r="HF144" s="280"/>
      <c r="HG144" s="280"/>
      <c r="HH144" s="280"/>
      <c r="HI144" s="280"/>
      <c r="HJ144" s="280"/>
      <c r="HK144" s="280"/>
      <c r="HL144" s="280"/>
      <c r="HM144" s="280"/>
      <c r="HN144" s="280"/>
      <c r="HO144" s="280"/>
      <c r="HP144" s="280"/>
      <c r="HQ144" s="280"/>
      <c r="HR144" s="280"/>
      <c r="HS144" s="280"/>
      <c r="HT144" s="280"/>
      <c r="HU144" s="280"/>
      <c r="HV144" s="280"/>
      <c r="HW144" s="280"/>
      <c r="HX144" s="280"/>
      <c r="HY144" s="280"/>
      <c r="HZ144" s="280"/>
      <c r="IA144" s="280"/>
      <c r="IB144" s="280"/>
      <c r="IC144" s="280"/>
      <c r="ID144" s="280"/>
      <c r="IE144" s="280"/>
      <c r="IF144" s="280"/>
      <c r="IG144" s="280"/>
      <c r="IH144" s="280"/>
      <c r="II144" s="280"/>
      <c r="IJ144" s="280"/>
    </row>
    <row r="145" spans="1:244" s="281" customFormat="1" ht="15">
      <c r="A145" s="280"/>
      <c r="D145" s="331"/>
      <c r="E145" s="331"/>
      <c r="F145" s="331"/>
      <c r="G145" s="321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80"/>
      <c r="AT145" s="280"/>
      <c r="AU145" s="280"/>
      <c r="AV145" s="280"/>
      <c r="AW145" s="280"/>
      <c r="AX145" s="280"/>
      <c r="AY145" s="280"/>
      <c r="AZ145" s="280"/>
      <c r="BA145" s="280"/>
      <c r="BB145" s="280"/>
      <c r="BC145" s="280"/>
      <c r="BD145" s="280"/>
      <c r="BE145" s="280"/>
      <c r="BF145" s="280"/>
      <c r="BG145" s="280"/>
      <c r="BH145" s="280"/>
      <c r="BI145" s="280"/>
      <c r="BJ145" s="280"/>
      <c r="BK145" s="280"/>
      <c r="BL145" s="280"/>
      <c r="BM145" s="280"/>
      <c r="BN145" s="280"/>
      <c r="BO145" s="280"/>
      <c r="BP145" s="280"/>
      <c r="BQ145" s="280"/>
      <c r="BR145" s="280"/>
      <c r="BS145" s="280"/>
      <c r="BT145" s="280"/>
      <c r="BU145" s="280"/>
      <c r="BV145" s="280"/>
      <c r="BW145" s="280"/>
      <c r="BX145" s="280"/>
      <c r="BY145" s="280"/>
      <c r="BZ145" s="280"/>
      <c r="CA145" s="280"/>
      <c r="CB145" s="280"/>
      <c r="CC145" s="280"/>
      <c r="CD145" s="280"/>
      <c r="CE145" s="280"/>
      <c r="CF145" s="280"/>
      <c r="CG145" s="280"/>
      <c r="CH145" s="280"/>
      <c r="CI145" s="280"/>
      <c r="CJ145" s="280"/>
      <c r="CK145" s="280"/>
      <c r="CL145" s="280"/>
      <c r="CM145" s="280"/>
      <c r="CN145" s="280"/>
      <c r="CO145" s="280"/>
      <c r="CP145" s="280"/>
      <c r="CQ145" s="280"/>
      <c r="CR145" s="280"/>
      <c r="CS145" s="280"/>
      <c r="CT145" s="280"/>
      <c r="CU145" s="280"/>
      <c r="CV145" s="280"/>
      <c r="CW145" s="280"/>
      <c r="CX145" s="280"/>
      <c r="CY145" s="280"/>
      <c r="CZ145" s="280"/>
      <c r="DA145" s="280"/>
      <c r="DB145" s="280"/>
      <c r="DC145" s="280"/>
      <c r="DD145" s="280"/>
      <c r="DE145" s="280"/>
      <c r="DF145" s="280"/>
      <c r="DG145" s="280"/>
      <c r="DH145" s="280"/>
      <c r="DI145" s="280"/>
      <c r="DJ145" s="280"/>
      <c r="DK145" s="280"/>
      <c r="DL145" s="280"/>
      <c r="DM145" s="280"/>
      <c r="DN145" s="280"/>
      <c r="DO145" s="280"/>
      <c r="DP145" s="280"/>
      <c r="DQ145" s="280"/>
      <c r="DR145" s="280"/>
      <c r="DS145" s="320"/>
      <c r="DT145" s="320"/>
      <c r="DU145" s="321"/>
      <c r="DV145" s="321"/>
      <c r="DW145" s="321"/>
      <c r="DX145" s="321"/>
      <c r="DY145" s="321"/>
      <c r="DZ145" s="321"/>
      <c r="EA145" s="321"/>
      <c r="EB145" s="321"/>
      <c r="EC145" s="321"/>
      <c r="ED145" s="321"/>
      <c r="EE145" s="321"/>
      <c r="EF145" s="321"/>
      <c r="EG145" s="321"/>
      <c r="EH145" s="321"/>
      <c r="EI145" s="280"/>
      <c r="EJ145" s="280"/>
      <c r="EK145" s="280"/>
      <c r="EL145" s="280"/>
      <c r="EM145" s="280"/>
      <c r="EN145" s="280"/>
      <c r="EO145" s="280"/>
      <c r="EP145" s="280"/>
      <c r="EQ145" s="280"/>
      <c r="ER145" s="280"/>
      <c r="ES145" s="280"/>
      <c r="ET145" s="280"/>
      <c r="EU145" s="280"/>
      <c r="EV145" s="280"/>
      <c r="EW145" s="280"/>
      <c r="EX145" s="280"/>
      <c r="EY145" s="280"/>
      <c r="EZ145" s="280"/>
      <c r="FA145" s="280"/>
      <c r="FB145" s="280"/>
      <c r="FC145" s="280"/>
      <c r="FD145" s="280"/>
      <c r="FE145" s="280"/>
      <c r="FF145" s="280"/>
      <c r="FG145" s="280"/>
      <c r="FH145" s="280"/>
      <c r="FI145" s="280"/>
      <c r="FJ145" s="280"/>
      <c r="FK145" s="280"/>
      <c r="FL145" s="280"/>
      <c r="FM145" s="280"/>
      <c r="FN145" s="280"/>
      <c r="FO145" s="280"/>
      <c r="FP145" s="280"/>
      <c r="FQ145" s="280"/>
      <c r="FR145" s="280"/>
      <c r="FS145" s="280"/>
      <c r="FT145" s="280"/>
      <c r="FU145" s="280"/>
      <c r="FV145" s="280"/>
      <c r="FW145" s="280"/>
      <c r="FX145" s="280"/>
      <c r="FY145" s="280"/>
      <c r="FZ145" s="280"/>
      <c r="GA145" s="280"/>
      <c r="GB145" s="280"/>
      <c r="GC145" s="280"/>
      <c r="GD145" s="280"/>
      <c r="GE145" s="280"/>
      <c r="GF145" s="280"/>
      <c r="GG145" s="280"/>
      <c r="GH145" s="280"/>
      <c r="GI145" s="280"/>
      <c r="GJ145" s="280"/>
      <c r="GK145" s="280"/>
      <c r="GL145" s="280"/>
      <c r="GM145" s="280"/>
      <c r="GN145" s="280"/>
      <c r="GO145" s="280"/>
      <c r="GP145" s="280"/>
      <c r="GQ145" s="280"/>
      <c r="GR145" s="280"/>
      <c r="GS145" s="280"/>
      <c r="GT145" s="280"/>
      <c r="GU145" s="280"/>
      <c r="GV145" s="280"/>
      <c r="GW145" s="280"/>
      <c r="GX145" s="280"/>
      <c r="GY145" s="280"/>
      <c r="GZ145" s="280"/>
      <c r="HA145" s="280"/>
      <c r="HB145" s="280"/>
      <c r="HC145" s="280"/>
      <c r="HD145" s="280"/>
      <c r="HE145" s="280"/>
      <c r="HF145" s="280"/>
      <c r="HG145" s="280"/>
      <c r="HH145" s="280"/>
      <c r="HI145" s="280"/>
      <c r="HJ145" s="280"/>
      <c r="HK145" s="280"/>
      <c r="HL145" s="280"/>
      <c r="HM145" s="280"/>
      <c r="HN145" s="280"/>
      <c r="HO145" s="280"/>
      <c r="HP145" s="280"/>
      <c r="HQ145" s="280"/>
      <c r="HR145" s="280"/>
      <c r="HS145" s="280"/>
      <c r="HT145" s="280"/>
      <c r="HU145" s="280"/>
      <c r="HV145" s="280"/>
      <c r="HW145" s="280"/>
      <c r="HX145" s="280"/>
      <c r="HY145" s="280"/>
      <c r="HZ145" s="280"/>
      <c r="IA145" s="280"/>
      <c r="IB145" s="280"/>
      <c r="IC145" s="280"/>
      <c r="ID145" s="280"/>
      <c r="IE145" s="280"/>
      <c r="IF145" s="280"/>
      <c r="IG145" s="280"/>
      <c r="IH145" s="280"/>
      <c r="II145" s="280"/>
      <c r="IJ145" s="280"/>
    </row>
    <row r="146" spans="1:244" s="281" customFormat="1" ht="15">
      <c r="A146" s="280"/>
      <c r="D146" s="332"/>
      <c r="E146" s="332"/>
      <c r="F146" s="331"/>
      <c r="G146" s="321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280"/>
      <c r="BG146" s="280"/>
      <c r="BH146" s="280"/>
      <c r="BI146" s="280"/>
      <c r="BJ146" s="280"/>
      <c r="BK146" s="280"/>
      <c r="BL146" s="280"/>
      <c r="BM146" s="280"/>
      <c r="BN146" s="280"/>
      <c r="BO146" s="280"/>
      <c r="BP146" s="280"/>
      <c r="BQ146" s="280"/>
      <c r="BR146" s="280"/>
      <c r="BS146" s="280"/>
      <c r="BT146" s="280"/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0"/>
      <c r="CN146" s="280"/>
      <c r="CO146" s="280"/>
      <c r="CP146" s="280"/>
      <c r="CQ146" s="280"/>
      <c r="CR146" s="280"/>
      <c r="CS146" s="280"/>
      <c r="CT146" s="280"/>
      <c r="CU146" s="280"/>
      <c r="CV146" s="280"/>
      <c r="CW146" s="280"/>
      <c r="CX146" s="280"/>
      <c r="CY146" s="280"/>
      <c r="CZ146" s="280"/>
      <c r="DA146" s="280"/>
      <c r="DB146" s="280"/>
      <c r="DC146" s="280"/>
      <c r="DD146" s="280"/>
      <c r="DE146" s="280"/>
      <c r="DF146" s="280"/>
      <c r="DG146" s="280"/>
      <c r="DH146" s="280"/>
      <c r="DI146" s="280"/>
      <c r="DJ146" s="280"/>
      <c r="DK146" s="280"/>
      <c r="DL146" s="280"/>
      <c r="DM146" s="280"/>
      <c r="DN146" s="280"/>
      <c r="DO146" s="280"/>
      <c r="DP146" s="280"/>
      <c r="DQ146" s="280"/>
      <c r="DR146" s="280"/>
      <c r="DS146" s="280"/>
      <c r="DT146" s="280"/>
      <c r="DU146" s="280"/>
      <c r="DV146" s="280"/>
      <c r="DW146" s="280"/>
      <c r="DX146" s="280"/>
      <c r="DY146" s="321"/>
      <c r="DZ146" s="321"/>
      <c r="EA146" s="321"/>
      <c r="EB146" s="321"/>
      <c r="EC146" s="321"/>
      <c r="ED146" s="321"/>
      <c r="EE146" s="321"/>
      <c r="EF146" s="321"/>
      <c r="EG146" s="321"/>
      <c r="EH146" s="321"/>
      <c r="EI146" s="280"/>
      <c r="EJ146" s="280"/>
      <c r="EK146" s="280"/>
      <c r="EL146" s="280"/>
      <c r="EM146" s="280"/>
      <c r="EN146" s="280"/>
      <c r="EO146" s="280"/>
      <c r="EP146" s="280"/>
      <c r="EQ146" s="280"/>
      <c r="ER146" s="280"/>
      <c r="ES146" s="280"/>
      <c r="ET146" s="280"/>
      <c r="EU146" s="280"/>
      <c r="EV146" s="280"/>
      <c r="EW146" s="280"/>
      <c r="EX146" s="280"/>
      <c r="EY146" s="280"/>
      <c r="EZ146" s="280"/>
      <c r="FA146" s="280"/>
      <c r="FB146" s="280"/>
      <c r="FC146" s="280"/>
      <c r="FD146" s="280"/>
      <c r="FE146" s="280"/>
      <c r="FF146" s="280"/>
      <c r="FG146" s="280"/>
      <c r="FH146" s="280"/>
      <c r="FI146" s="280"/>
      <c r="FJ146" s="280"/>
      <c r="FK146" s="280"/>
      <c r="FL146" s="280"/>
      <c r="FM146" s="280"/>
      <c r="FN146" s="280"/>
      <c r="FO146" s="280"/>
      <c r="FP146" s="280"/>
      <c r="FQ146" s="280"/>
      <c r="FR146" s="280"/>
      <c r="FS146" s="280"/>
      <c r="FT146" s="280"/>
      <c r="FU146" s="280"/>
      <c r="FV146" s="280"/>
      <c r="FW146" s="280"/>
      <c r="FX146" s="280"/>
      <c r="FY146" s="280"/>
      <c r="FZ146" s="280"/>
      <c r="GA146" s="280"/>
      <c r="GB146" s="280"/>
      <c r="GC146" s="280"/>
      <c r="GD146" s="280"/>
      <c r="GE146" s="280"/>
      <c r="GF146" s="280"/>
      <c r="GG146" s="280"/>
      <c r="GH146" s="280"/>
      <c r="GI146" s="280"/>
      <c r="GJ146" s="280"/>
      <c r="GK146" s="280"/>
      <c r="GL146" s="280"/>
      <c r="GM146" s="280"/>
      <c r="GN146" s="280"/>
      <c r="GO146" s="280"/>
      <c r="GP146" s="280"/>
      <c r="GQ146" s="280"/>
      <c r="GR146" s="280"/>
      <c r="GS146" s="280"/>
      <c r="GT146" s="280"/>
      <c r="GU146" s="280"/>
      <c r="GV146" s="280"/>
      <c r="GW146" s="280"/>
      <c r="GX146" s="280"/>
      <c r="GY146" s="280"/>
      <c r="GZ146" s="280"/>
      <c r="HA146" s="280"/>
      <c r="HB146" s="280"/>
      <c r="HC146" s="280"/>
      <c r="HD146" s="280"/>
      <c r="HE146" s="280"/>
      <c r="HF146" s="280"/>
      <c r="HG146" s="280"/>
      <c r="HH146" s="280"/>
      <c r="HI146" s="280"/>
      <c r="HJ146" s="280"/>
      <c r="HK146" s="280"/>
      <c r="HL146" s="280"/>
      <c r="HM146" s="280"/>
      <c r="HN146" s="280"/>
      <c r="HO146" s="280"/>
      <c r="HP146" s="280"/>
      <c r="HQ146" s="280"/>
      <c r="HR146" s="280"/>
      <c r="HS146" s="280"/>
      <c r="HT146" s="280"/>
      <c r="HU146" s="280"/>
      <c r="HV146" s="280"/>
      <c r="HW146" s="280"/>
      <c r="HX146" s="280"/>
      <c r="HY146" s="280"/>
      <c r="HZ146" s="280"/>
      <c r="IA146" s="280"/>
      <c r="IB146" s="280"/>
      <c r="IC146" s="280"/>
      <c r="ID146" s="280"/>
      <c r="IE146" s="280"/>
      <c r="IF146" s="280"/>
      <c r="IG146" s="280"/>
      <c r="IH146" s="280"/>
      <c r="II146" s="280"/>
      <c r="IJ146" s="280"/>
    </row>
    <row r="147" spans="1:244" s="281" customFormat="1" ht="15">
      <c r="A147" s="280"/>
      <c r="D147" s="331"/>
      <c r="E147" s="331"/>
      <c r="F147" s="331"/>
      <c r="G147" s="321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0"/>
      <c r="AZ147" s="280"/>
      <c r="BA147" s="280"/>
      <c r="BB147" s="280"/>
      <c r="BC147" s="280"/>
      <c r="BD147" s="280"/>
      <c r="BE147" s="280"/>
      <c r="BF147" s="280"/>
      <c r="BG147" s="280"/>
      <c r="BH147" s="280"/>
      <c r="BI147" s="280"/>
      <c r="BJ147" s="280"/>
      <c r="BK147" s="280"/>
      <c r="BL147" s="280"/>
      <c r="BM147" s="280"/>
      <c r="BN147" s="280"/>
      <c r="BO147" s="280"/>
      <c r="BP147" s="280"/>
      <c r="BQ147" s="280"/>
      <c r="BR147" s="280"/>
      <c r="BS147" s="280"/>
      <c r="BT147" s="280"/>
      <c r="BU147" s="280"/>
      <c r="BV147" s="280"/>
      <c r="BW147" s="280"/>
      <c r="BX147" s="280"/>
      <c r="BY147" s="280"/>
      <c r="BZ147" s="280"/>
      <c r="CA147" s="280"/>
      <c r="CB147" s="280"/>
      <c r="CC147" s="280"/>
      <c r="CD147" s="280"/>
      <c r="CE147" s="280"/>
      <c r="CF147" s="280"/>
      <c r="CG147" s="280"/>
      <c r="CH147" s="280"/>
      <c r="CI147" s="280"/>
      <c r="CJ147" s="280"/>
      <c r="CK147" s="280"/>
      <c r="CL147" s="280"/>
      <c r="CM147" s="280"/>
      <c r="CN147" s="280"/>
      <c r="CO147" s="280"/>
      <c r="CP147" s="280"/>
      <c r="CQ147" s="280"/>
      <c r="CR147" s="280"/>
      <c r="CS147" s="280"/>
      <c r="CT147" s="280"/>
      <c r="CU147" s="280"/>
      <c r="CV147" s="280"/>
      <c r="CW147" s="280"/>
      <c r="CX147" s="280"/>
      <c r="CY147" s="280"/>
      <c r="CZ147" s="280"/>
      <c r="DA147" s="280"/>
      <c r="DB147" s="280"/>
      <c r="DC147" s="280"/>
      <c r="DD147" s="280"/>
      <c r="DE147" s="280"/>
      <c r="DF147" s="280"/>
      <c r="DG147" s="280"/>
      <c r="DH147" s="280"/>
      <c r="DI147" s="280"/>
      <c r="DJ147" s="280"/>
      <c r="DK147" s="280"/>
      <c r="DL147" s="280"/>
      <c r="DM147" s="280"/>
      <c r="DN147" s="280"/>
      <c r="DO147" s="280"/>
      <c r="DP147" s="280"/>
      <c r="DQ147" s="280"/>
      <c r="DR147" s="280"/>
      <c r="DS147" s="280"/>
      <c r="DT147" s="280"/>
      <c r="DU147" s="280"/>
      <c r="DV147" s="280"/>
      <c r="DW147" s="280"/>
      <c r="DX147" s="280"/>
      <c r="DY147" s="321"/>
      <c r="DZ147" s="321"/>
      <c r="EA147" s="321"/>
      <c r="EB147" s="321"/>
      <c r="EC147" s="321"/>
      <c r="ED147" s="321"/>
      <c r="EE147" s="321"/>
      <c r="EF147" s="321"/>
      <c r="EG147" s="321"/>
      <c r="EH147" s="321"/>
      <c r="EI147" s="280"/>
      <c r="EJ147" s="280"/>
      <c r="EK147" s="280"/>
      <c r="EL147" s="280"/>
      <c r="EM147" s="280"/>
      <c r="EN147" s="280"/>
      <c r="EO147" s="280"/>
      <c r="EP147" s="280"/>
      <c r="EQ147" s="280"/>
      <c r="ER147" s="280"/>
      <c r="ES147" s="280"/>
      <c r="ET147" s="280"/>
      <c r="EU147" s="280"/>
      <c r="EV147" s="280"/>
      <c r="EW147" s="280"/>
      <c r="EX147" s="280"/>
      <c r="EY147" s="280"/>
      <c r="EZ147" s="280"/>
      <c r="FA147" s="280"/>
      <c r="FB147" s="280"/>
      <c r="FC147" s="280"/>
      <c r="FD147" s="280"/>
      <c r="FE147" s="280"/>
      <c r="FF147" s="280"/>
      <c r="FG147" s="280"/>
      <c r="FH147" s="280"/>
      <c r="FI147" s="280"/>
      <c r="FJ147" s="280"/>
      <c r="FK147" s="280"/>
      <c r="FL147" s="280"/>
      <c r="FM147" s="280"/>
      <c r="FN147" s="280"/>
      <c r="FO147" s="280"/>
      <c r="FP147" s="280"/>
      <c r="FQ147" s="280"/>
      <c r="FR147" s="280"/>
      <c r="FS147" s="280"/>
      <c r="FT147" s="280"/>
      <c r="FU147" s="280"/>
      <c r="FV147" s="280"/>
      <c r="FW147" s="280"/>
      <c r="FX147" s="280"/>
      <c r="FY147" s="280"/>
      <c r="FZ147" s="280"/>
      <c r="GA147" s="280"/>
      <c r="GB147" s="280"/>
      <c r="GC147" s="280"/>
      <c r="GD147" s="280"/>
      <c r="GE147" s="280"/>
      <c r="GF147" s="280"/>
      <c r="GG147" s="280"/>
      <c r="GH147" s="280"/>
      <c r="GI147" s="280"/>
      <c r="GJ147" s="280"/>
      <c r="GK147" s="280"/>
      <c r="GL147" s="280"/>
      <c r="GM147" s="280"/>
      <c r="GN147" s="280"/>
      <c r="GO147" s="280"/>
      <c r="GP147" s="280"/>
      <c r="GQ147" s="280"/>
      <c r="GR147" s="280"/>
      <c r="GS147" s="280"/>
      <c r="GT147" s="280"/>
      <c r="GU147" s="280"/>
      <c r="GV147" s="280"/>
      <c r="GW147" s="280"/>
      <c r="GX147" s="280"/>
      <c r="GY147" s="280"/>
      <c r="GZ147" s="280"/>
      <c r="HA147" s="280"/>
      <c r="HB147" s="280"/>
      <c r="HC147" s="280"/>
      <c r="HD147" s="280"/>
      <c r="HE147" s="280"/>
      <c r="HF147" s="280"/>
      <c r="HG147" s="280"/>
      <c r="HH147" s="280"/>
      <c r="HI147" s="280"/>
      <c r="HJ147" s="280"/>
      <c r="HK147" s="280"/>
      <c r="HL147" s="280"/>
      <c r="HM147" s="280"/>
      <c r="HN147" s="280"/>
      <c r="HO147" s="280"/>
      <c r="HP147" s="280"/>
      <c r="HQ147" s="280"/>
      <c r="HR147" s="280"/>
      <c r="HS147" s="280"/>
      <c r="HT147" s="280"/>
      <c r="HU147" s="280"/>
      <c r="HV147" s="280"/>
      <c r="HW147" s="280"/>
      <c r="HX147" s="280"/>
      <c r="HY147" s="280"/>
      <c r="HZ147" s="280"/>
      <c r="IA147" s="280"/>
      <c r="IB147" s="280"/>
      <c r="IC147" s="280"/>
      <c r="ID147" s="280"/>
      <c r="IE147" s="280"/>
      <c r="IF147" s="280"/>
      <c r="IG147" s="280"/>
      <c r="IH147" s="280"/>
      <c r="II147" s="280"/>
      <c r="IJ147" s="280"/>
    </row>
    <row r="148" spans="1:244" s="281" customFormat="1" ht="15">
      <c r="A148" s="280"/>
      <c r="D148" s="331"/>
      <c r="E148" s="331"/>
      <c r="F148" s="331"/>
      <c r="G148" s="321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  <c r="AV148" s="280"/>
      <c r="AW148" s="280"/>
      <c r="AX148" s="280"/>
      <c r="AY148" s="280"/>
      <c r="AZ148" s="280"/>
      <c r="BA148" s="280"/>
      <c r="BB148" s="280"/>
      <c r="BC148" s="280"/>
      <c r="BD148" s="280"/>
      <c r="BE148" s="280"/>
      <c r="BF148" s="280"/>
      <c r="BG148" s="280"/>
      <c r="BH148" s="280"/>
      <c r="BI148" s="280"/>
      <c r="BJ148" s="280"/>
      <c r="BK148" s="280"/>
      <c r="BL148" s="280"/>
      <c r="BM148" s="280"/>
      <c r="BN148" s="280"/>
      <c r="BO148" s="280"/>
      <c r="BP148" s="280"/>
      <c r="BQ148" s="280"/>
      <c r="BR148" s="280"/>
      <c r="BS148" s="280"/>
      <c r="BT148" s="280"/>
      <c r="BU148" s="280"/>
      <c r="BV148" s="280"/>
      <c r="BW148" s="280"/>
      <c r="BX148" s="280"/>
      <c r="BY148" s="280"/>
      <c r="BZ148" s="280"/>
      <c r="CA148" s="280"/>
      <c r="CB148" s="280"/>
      <c r="CC148" s="280"/>
      <c r="CD148" s="280"/>
      <c r="CE148" s="280"/>
      <c r="CF148" s="280"/>
      <c r="CG148" s="280"/>
      <c r="CH148" s="280"/>
      <c r="CI148" s="280"/>
      <c r="CJ148" s="280"/>
      <c r="CK148" s="280"/>
      <c r="CL148" s="280"/>
      <c r="CM148" s="280"/>
      <c r="CN148" s="280"/>
      <c r="CO148" s="280"/>
      <c r="CP148" s="280"/>
      <c r="CQ148" s="280"/>
      <c r="CR148" s="280"/>
      <c r="CS148" s="280"/>
      <c r="CT148" s="280"/>
      <c r="CU148" s="280"/>
      <c r="CV148" s="280"/>
      <c r="CW148" s="280"/>
      <c r="CX148" s="280"/>
      <c r="CY148" s="280"/>
      <c r="CZ148" s="280"/>
      <c r="DA148" s="280"/>
      <c r="DB148" s="280"/>
      <c r="DC148" s="280"/>
      <c r="DD148" s="280"/>
      <c r="DE148" s="280"/>
      <c r="DF148" s="280"/>
      <c r="DG148" s="280"/>
      <c r="DH148" s="280"/>
      <c r="DI148" s="280"/>
      <c r="DJ148" s="280"/>
      <c r="DK148" s="280"/>
      <c r="DL148" s="280"/>
      <c r="DM148" s="280"/>
      <c r="DN148" s="280"/>
      <c r="DO148" s="280"/>
      <c r="DP148" s="280"/>
      <c r="DQ148" s="280"/>
      <c r="DR148" s="280"/>
      <c r="DS148" s="280"/>
      <c r="DT148" s="280"/>
      <c r="DU148" s="280"/>
      <c r="DV148" s="280"/>
      <c r="DW148" s="280"/>
      <c r="DX148" s="280"/>
      <c r="DY148" s="321"/>
      <c r="DZ148" s="321"/>
      <c r="EA148" s="321"/>
      <c r="EB148" s="321"/>
      <c r="EC148" s="321"/>
      <c r="ED148" s="321"/>
      <c r="EE148" s="321"/>
      <c r="EF148" s="321"/>
      <c r="EG148" s="321"/>
      <c r="EH148" s="321"/>
      <c r="EI148" s="280"/>
      <c r="EJ148" s="280"/>
      <c r="EK148" s="280"/>
      <c r="EL148" s="280"/>
      <c r="EM148" s="280"/>
      <c r="EN148" s="280"/>
      <c r="EO148" s="280"/>
      <c r="EP148" s="280"/>
      <c r="EQ148" s="280"/>
      <c r="ER148" s="280"/>
      <c r="ES148" s="280"/>
      <c r="ET148" s="280"/>
      <c r="EU148" s="280"/>
      <c r="EV148" s="280"/>
      <c r="EW148" s="280"/>
      <c r="EX148" s="280"/>
      <c r="EY148" s="280"/>
      <c r="EZ148" s="280"/>
      <c r="FA148" s="280"/>
      <c r="FB148" s="280"/>
      <c r="FC148" s="280"/>
      <c r="FD148" s="280"/>
      <c r="FE148" s="280"/>
      <c r="FF148" s="280"/>
      <c r="FG148" s="280"/>
      <c r="FH148" s="280"/>
      <c r="FI148" s="280"/>
      <c r="FJ148" s="280"/>
      <c r="FK148" s="280"/>
      <c r="FL148" s="280"/>
      <c r="FM148" s="280"/>
      <c r="FN148" s="280"/>
      <c r="FO148" s="280"/>
      <c r="FP148" s="280"/>
      <c r="FQ148" s="280"/>
      <c r="FR148" s="280"/>
      <c r="FS148" s="280"/>
      <c r="FT148" s="280"/>
      <c r="FU148" s="280"/>
      <c r="FV148" s="280"/>
      <c r="FW148" s="280"/>
      <c r="FX148" s="280"/>
      <c r="FY148" s="280"/>
      <c r="FZ148" s="280"/>
      <c r="GA148" s="280"/>
      <c r="GB148" s="280"/>
      <c r="GC148" s="280"/>
      <c r="GD148" s="280"/>
      <c r="GE148" s="280"/>
      <c r="GF148" s="280"/>
      <c r="GG148" s="280"/>
      <c r="GH148" s="280"/>
      <c r="GI148" s="280"/>
      <c r="GJ148" s="280"/>
      <c r="GK148" s="280"/>
      <c r="GL148" s="280"/>
      <c r="GM148" s="280"/>
      <c r="GN148" s="280"/>
      <c r="GO148" s="280"/>
      <c r="GP148" s="280"/>
      <c r="GQ148" s="280"/>
      <c r="GR148" s="280"/>
      <c r="GS148" s="280"/>
      <c r="GT148" s="280"/>
      <c r="GU148" s="280"/>
      <c r="GV148" s="280"/>
      <c r="GW148" s="280"/>
      <c r="GX148" s="280"/>
      <c r="GY148" s="280"/>
      <c r="GZ148" s="280"/>
      <c r="HA148" s="280"/>
      <c r="HB148" s="280"/>
      <c r="HC148" s="280"/>
      <c r="HD148" s="280"/>
      <c r="HE148" s="280"/>
      <c r="HF148" s="280"/>
      <c r="HG148" s="280"/>
      <c r="HH148" s="280"/>
      <c r="HI148" s="280"/>
      <c r="HJ148" s="280"/>
      <c r="HK148" s="280"/>
      <c r="HL148" s="280"/>
      <c r="HM148" s="280"/>
      <c r="HN148" s="280"/>
      <c r="HO148" s="280"/>
      <c r="HP148" s="280"/>
      <c r="HQ148" s="280"/>
      <c r="HR148" s="280"/>
      <c r="HS148" s="280"/>
      <c r="HT148" s="280"/>
      <c r="HU148" s="280"/>
      <c r="HV148" s="280"/>
      <c r="HW148" s="280"/>
      <c r="HX148" s="280"/>
      <c r="HY148" s="280"/>
      <c r="HZ148" s="280"/>
      <c r="IA148" s="280"/>
      <c r="IB148" s="280"/>
      <c r="IC148" s="280"/>
      <c r="ID148" s="280"/>
      <c r="IE148" s="280"/>
      <c r="IF148" s="280"/>
      <c r="IG148" s="280"/>
      <c r="IH148" s="280"/>
      <c r="II148" s="280"/>
      <c r="IJ148" s="280"/>
    </row>
    <row r="149" spans="1:244" s="281" customFormat="1" ht="15">
      <c r="A149" s="280"/>
      <c r="D149" s="331"/>
      <c r="E149" s="331"/>
      <c r="F149" s="331"/>
      <c r="G149" s="321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0"/>
      <c r="AZ149" s="280"/>
      <c r="BA149" s="280"/>
      <c r="BB149" s="280"/>
      <c r="BC149" s="280"/>
      <c r="BD149" s="280"/>
      <c r="BE149" s="280"/>
      <c r="BF149" s="280"/>
      <c r="BG149" s="280"/>
      <c r="BH149" s="280"/>
      <c r="BI149" s="280"/>
      <c r="BJ149" s="280"/>
      <c r="BK149" s="280"/>
      <c r="BL149" s="280"/>
      <c r="BM149" s="280"/>
      <c r="BN149" s="280"/>
      <c r="BO149" s="280"/>
      <c r="BP149" s="280"/>
      <c r="BQ149" s="280"/>
      <c r="BR149" s="280"/>
      <c r="BS149" s="280"/>
      <c r="BT149" s="280"/>
      <c r="BU149" s="280"/>
      <c r="BV149" s="280"/>
      <c r="BW149" s="280"/>
      <c r="BX149" s="280"/>
      <c r="BY149" s="280"/>
      <c r="BZ149" s="280"/>
      <c r="CA149" s="280"/>
      <c r="CB149" s="280"/>
      <c r="CC149" s="280"/>
      <c r="CD149" s="280"/>
      <c r="CE149" s="280"/>
      <c r="CF149" s="280"/>
      <c r="CG149" s="280"/>
      <c r="CH149" s="280"/>
      <c r="CI149" s="280"/>
      <c r="CJ149" s="280"/>
      <c r="CK149" s="280"/>
      <c r="CL149" s="280"/>
      <c r="CM149" s="280"/>
      <c r="CN149" s="280"/>
      <c r="CO149" s="280"/>
      <c r="CP149" s="280"/>
      <c r="CQ149" s="280"/>
      <c r="CR149" s="280"/>
      <c r="CS149" s="280"/>
      <c r="CT149" s="280"/>
      <c r="CU149" s="280"/>
      <c r="CV149" s="280"/>
      <c r="CW149" s="280"/>
      <c r="CX149" s="280"/>
      <c r="CY149" s="280"/>
      <c r="CZ149" s="280"/>
      <c r="DA149" s="280"/>
      <c r="DB149" s="280"/>
      <c r="DC149" s="280"/>
      <c r="DD149" s="280"/>
      <c r="DE149" s="280"/>
      <c r="DF149" s="280"/>
      <c r="DG149" s="280"/>
      <c r="DH149" s="280"/>
      <c r="DI149" s="280"/>
      <c r="DJ149" s="280"/>
      <c r="DK149" s="280"/>
      <c r="DL149" s="280"/>
      <c r="DM149" s="280"/>
      <c r="DN149" s="280"/>
      <c r="DO149" s="280"/>
      <c r="DP149" s="280"/>
      <c r="DQ149" s="280"/>
      <c r="DR149" s="280"/>
      <c r="DS149" s="280"/>
      <c r="DT149" s="280"/>
      <c r="DU149" s="280"/>
      <c r="DV149" s="280"/>
      <c r="DW149" s="280"/>
      <c r="DX149" s="280"/>
      <c r="DY149" s="321"/>
      <c r="DZ149" s="321"/>
      <c r="EA149" s="321"/>
      <c r="EB149" s="321"/>
      <c r="EC149" s="321"/>
      <c r="ED149" s="321"/>
      <c r="EE149" s="321"/>
      <c r="EF149" s="321"/>
      <c r="EG149" s="321"/>
      <c r="EH149" s="321"/>
      <c r="EI149" s="280"/>
      <c r="EJ149" s="320"/>
      <c r="EK149" s="321"/>
      <c r="EL149" s="320"/>
      <c r="EM149" s="320"/>
      <c r="EN149" s="320"/>
      <c r="EO149" s="280"/>
      <c r="EP149" s="280"/>
      <c r="EQ149" s="280"/>
      <c r="ER149" s="280"/>
      <c r="ES149" s="280"/>
      <c r="ET149" s="280"/>
      <c r="EU149" s="280"/>
      <c r="EV149" s="280"/>
      <c r="EW149" s="280"/>
      <c r="EX149" s="280"/>
      <c r="EY149" s="280"/>
      <c r="EZ149" s="280"/>
      <c r="FA149" s="280"/>
      <c r="FB149" s="280"/>
      <c r="FC149" s="280"/>
      <c r="FD149" s="280"/>
      <c r="FE149" s="280"/>
      <c r="FF149" s="280"/>
      <c r="FG149" s="280"/>
      <c r="FH149" s="280"/>
      <c r="FI149" s="280"/>
      <c r="FJ149" s="280"/>
      <c r="FK149" s="280"/>
      <c r="FL149" s="280"/>
      <c r="FM149" s="280"/>
      <c r="FN149" s="280"/>
      <c r="FO149" s="280"/>
      <c r="FP149" s="280"/>
      <c r="FQ149" s="280"/>
      <c r="FR149" s="280"/>
      <c r="FS149" s="280"/>
      <c r="FT149" s="280"/>
      <c r="FU149" s="280"/>
      <c r="FV149" s="280"/>
      <c r="FW149" s="280"/>
      <c r="FX149" s="280"/>
      <c r="FY149" s="280"/>
      <c r="FZ149" s="280"/>
      <c r="GA149" s="280"/>
      <c r="GB149" s="280"/>
      <c r="GC149" s="280"/>
      <c r="GD149" s="280"/>
      <c r="GE149" s="280"/>
      <c r="GF149" s="280"/>
      <c r="GG149" s="280"/>
      <c r="GH149" s="280"/>
      <c r="GI149" s="280"/>
      <c r="GJ149" s="280"/>
      <c r="GK149" s="280"/>
      <c r="GL149" s="280"/>
      <c r="GM149" s="280"/>
      <c r="GN149" s="280"/>
      <c r="GO149" s="280"/>
      <c r="GP149" s="280"/>
      <c r="GQ149" s="280"/>
      <c r="GR149" s="280"/>
      <c r="GS149" s="280"/>
      <c r="GT149" s="280"/>
      <c r="GU149" s="280"/>
      <c r="GV149" s="280"/>
      <c r="GW149" s="280"/>
      <c r="GX149" s="280"/>
      <c r="GY149" s="280"/>
      <c r="GZ149" s="280"/>
      <c r="HA149" s="280"/>
      <c r="HB149" s="280"/>
      <c r="HC149" s="280"/>
      <c r="HD149" s="280"/>
      <c r="HE149" s="280"/>
      <c r="HF149" s="280"/>
      <c r="HG149" s="280"/>
      <c r="HH149" s="280"/>
      <c r="HI149" s="280"/>
      <c r="HJ149" s="280"/>
      <c r="HK149" s="280"/>
      <c r="HL149" s="280"/>
      <c r="HM149" s="280"/>
      <c r="HN149" s="280"/>
      <c r="HO149" s="280"/>
      <c r="HP149" s="280"/>
      <c r="HQ149" s="280"/>
      <c r="HR149" s="280"/>
      <c r="HS149" s="280"/>
      <c r="HT149" s="280"/>
      <c r="HU149" s="280"/>
      <c r="HV149" s="280"/>
      <c r="HW149" s="280"/>
      <c r="HX149" s="280"/>
      <c r="HY149" s="280"/>
      <c r="HZ149" s="280"/>
      <c r="IA149" s="280"/>
      <c r="IB149" s="280"/>
      <c r="IC149" s="280"/>
      <c r="ID149" s="280"/>
      <c r="IE149" s="280"/>
      <c r="IF149" s="280"/>
      <c r="IG149" s="280"/>
      <c r="IH149" s="280"/>
      <c r="II149" s="280"/>
      <c r="IJ149" s="280"/>
    </row>
    <row r="150" spans="1:244" s="281" customFormat="1" ht="15">
      <c r="A150" s="280"/>
      <c r="D150" s="331"/>
      <c r="E150" s="331"/>
      <c r="F150" s="331"/>
      <c r="G150" s="321"/>
      <c r="H150" s="280"/>
      <c r="I150" s="280"/>
      <c r="J150" s="280"/>
      <c r="K150" s="280"/>
      <c r="L150" s="280"/>
      <c r="M150" s="280"/>
      <c r="N150" s="280"/>
      <c r="O150" s="280"/>
      <c r="P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/>
      <c r="AO150" s="280"/>
      <c r="AP150" s="280"/>
      <c r="AQ150" s="280"/>
      <c r="AR150" s="280"/>
      <c r="AS150" s="280"/>
      <c r="AT150" s="280"/>
      <c r="AU150" s="280"/>
      <c r="AV150" s="280"/>
      <c r="AW150" s="280"/>
      <c r="AX150" s="280"/>
      <c r="AY150" s="280"/>
      <c r="AZ150" s="280"/>
      <c r="BA150" s="280"/>
      <c r="BB150" s="280"/>
      <c r="BC150" s="280"/>
      <c r="BD150" s="280"/>
      <c r="BE150" s="280"/>
      <c r="BF150" s="280"/>
      <c r="BG150" s="280"/>
      <c r="BH150" s="280"/>
      <c r="BI150" s="280"/>
      <c r="BJ150" s="280"/>
      <c r="BK150" s="280"/>
      <c r="BL150" s="280"/>
      <c r="BM150" s="280"/>
      <c r="BN150" s="280"/>
      <c r="BO150" s="280"/>
      <c r="BP150" s="280"/>
      <c r="BQ150" s="280"/>
      <c r="BR150" s="280"/>
      <c r="BS150" s="280"/>
      <c r="BT150" s="280"/>
      <c r="BU150" s="280"/>
      <c r="BV150" s="280"/>
      <c r="BW150" s="280"/>
      <c r="BX150" s="280"/>
      <c r="BY150" s="280"/>
      <c r="BZ150" s="280"/>
      <c r="CA150" s="280"/>
      <c r="CB150" s="280"/>
      <c r="CC150" s="280"/>
      <c r="CD150" s="280"/>
      <c r="CE150" s="280"/>
      <c r="CF150" s="280"/>
      <c r="CG150" s="280"/>
      <c r="CH150" s="280"/>
      <c r="CI150" s="280"/>
      <c r="CJ150" s="280"/>
      <c r="CK150" s="280"/>
      <c r="CL150" s="280"/>
      <c r="CM150" s="280"/>
      <c r="CN150" s="280"/>
      <c r="CO150" s="280"/>
      <c r="CP150" s="280"/>
      <c r="CQ150" s="280"/>
      <c r="CR150" s="280"/>
      <c r="CS150" s="280"/>
      <c r="CT150" s="280"/>
      <c r="CU150" s="280"/>
      <c r="CV150" s="280"/>
      <c r="CW150" s="280"/>
      <c r="CX150" s="280"/>
      <c r="CY150" s="280"/>
      <c r="CZ150" s="280"/>
      <c r="DA150" s="280"/>
      <c r="DB150" s="280"/>
      <c r="DC150" s="280"/>
      <c r="DD150" s="280"/>
      <c r="DE150" s="280"/>
      <c r="DF150" s="280"/>
      <c r="DG150" s="280"/>
      <c r="DH150" s="280"/>
      <c r="DI150" s="280"/>
      <c r="DJ150" s="280"/>
      <c r="DK150" s="280"/>
      <c r="DL150" s="280"/>
      <c r="DM150" s="280"/>
      <c r="DN150" s="280"/>
      <c r="DO150" s="280"/>
      <c r="DP150" s="280"/>
      <c r="DQ150" s="280"/>
      <c r="DR150" s="280"/>
      <c r="DS150" s="280"/>
      <c r="DT150" s="280"/>
      <c r="DU150" s="280"/>
      <c r="DV150" s="280"/>
      <c r="DW150" s="280"/>
      <c r="DX150" s="280"/>
      <c r="DY150" s="321"/>
      <c r="DZ150" s="321"/>
      <c r="EA150" s="321"/>
      <c r="EB150" s="321"/>
      <c r="EC150" s="321"/>
      <c r="ED150" s="321"/>
      <c r="EE150" s="321"/>
      <c r="EF150" s="321"/>
      <c r="EG150" s="321"/>
      <c r="EH150" s="321"/>
      <c r="EI150" s="280"/>
      <c r="EJ150" s="280"/>
      <c r="EK150" s="280"/>
      <c r="EL150" s="280"/>
      <c r="EM150" s="280"/>
      <c r="EN150" s="280"/>
      <c r="EO150" s="320"/>
      <c r="EP150" s="280"/>
      <c r="EQ150" s="280"/>
      <c r="ER150" s="280"/>
      <c r="ES150" s="280"/>
      <c r="ET150" s="280"/>
      <c r="EU150" s="280"/>
      <c r="EV150" s="280"/>
      <c r="EW150" s="280"/>
      <c r="EX150" s="280"/>
      <c r="EY150" s="280"/>
      <c r="EZ150" s="280"/>
      <c r="FA150" s="280"/>
      <c r="FB150" s="280"/>
      <c r="FC150" s="280"/>
      <c r="FD150" s="280"/>
      <c r="FE150" s="280"/>
      <c r="FF150" s="280"/>
      <c r="FG150" s="280"/>
      <c r="FH150" s="280"/>
      <c r="FI150" s="280"/>
      <c r="FJ150" s="280"/>
      <c r="FK150" s="280"/>
      <c r="FL150" s="280"/>
      <c r="FM150" s="280"/>
      <c r="FN150" s="280"/>
      <c r="FO150" s="280"/>
      <c r="FP150" s="280"/>
      <c r="FQ150" s="280"/>
      <c r="FR150" s="280"/>
      <c r="FS150" s="280"/>
      <c r="FT150" s="280"/>
      <c r="FU150" s="280"/>
      <c r="FV150" s="280"/>
      <c r="FW150" s="280"/>
      <c r="FX150" s="280"/>
      <c r="FY150" s="280"/>
      <c r="FZ150" s="280"/>
      <c r="GA150" s="280"/>
      <c r="GB150" s="280"/>
      <c r="GC150" s="280"/>
      <c r="GD150" s="280"/>
      <c r="GE150" s="280"/>
      <c r="GF150" s="280"/>
      <c r="GG150" s="280"/>
      <c r="GH150" s="280"/>
      <c r="GI150" s="280"/>
      <c r="GJ150" s="280"/>
      <c r="GK150" s="280"/>
      <c r="GL150" s="280"/>
      <c r="GM150" s="280"/>
      <c r="GN150" s="280"/>
      <c r="GO150" s="280"/>
      <c r="GP150" s="280"/>
      <c r="GQ150" s="280"/>
      <c r="GR150" s="280"/>
      <c r="GS150" s="280"/>
      <c r="GT150" s="280"/>
      <c r="GU150" s="280"/>
      <c r="GV150" s="280"/>
      <c r="GW150" s="280"/>
      <c r="GX150" s="280"/>
      <c r="GY150" s="280"/>
      <c r="GZ150" s="280"/>
      <c r="HA150" s="280"/>
      <c r="HB150" s="280"/>
      <c r="HC150" s="280"/>
      <c r="HD150" s="280"/>
      <c r="HE150" s="280"/>
      <c r="HF150" s="280"/>
      <c r="HG150" s="280"/>
      <c r="HH150" s="280"/>
      <c r="HI150" s="280"/>
      <c r="HJ150" s="280"/>
      <c r="HK150" s="280"/>
      <c r="HL150" s="280"/>
      <c r="HM150" s="280"/>
      <c r="HN150" s="280"/>
      <c r="HO150" s="280"/>
      <c r="HP150" s="280"/>
      <c r="HQ150" s="280"/>
      <c r="HR150" s="280"/>
      <c r="HS150" s="280"/>
      <c r="HT150" s="280"/>
      <c r="HU150" s="280"/>
      <c r="HV150" s="280"/>
      <c r="HW150" s="280"/>
      <c r="HX150" s="280"/>
      <c r="HY150" s="280"/>
      <c r="HZ150" s="280"/>
      <c r="IA150" s="280"/>
      <c r="IB150" s="280"/>
      <c r="IC150" s="280"/>
      <c r="ID150" s="280"/>
      <c r="IE150" s="280"/>
      <c r="IF150" s="280"/>
      <c r="IG150" s="280"/>
      <c r="IH150" s="280"/>
      <c r="II150" s="280"/>
      <c r="IJ150" s="280"/>
    </row>
    <row r="151" spans="1:244" s="281" customFormat="1" ht="15">
      <c r="A151" s="280"/>
      <c r="D151" s="331"/>
      <c r="E151" s="331"/>
      <c r="F151" s="331"/>
      <c r="G151" s="321"/>
      <c r="H151" s="280"/>
      <c r="I151" s="320"/>
      <c r="J151" s="320"/>
      <c r="K151" s="280"/>
      <c r="L151" s="280"/>
      <c r="M151" s="280"/>
      <c r="N151" s="280"/>
      <c r="O151" s="280"/>
      <c r="P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  <c r="BH151" s="280"/>
      <c r="BI151" s="280"/>
      <c r="BJ151" s="280"/>
      <c r="BK151" s="280"/>
      <c r="BL151" s="280"/>
      <c r="BM151" s="280"/>
      <c r="BN151" s="280"/>
      <c r="BO151" s="280"/>
      <c r="BP151" s="280"/>
      <c r="BQ151" s="280"/>
      <c r="BR151" s="280"/>
      <c r="BS151" s="280"/>
      <c r="BT151" s="280"/>
      <c r="BU151" s="280"/>
      <c r="BV151" s="280"/>
      <c r="BW151" s="280"/>
      <c r="BX151" s="280"/>
      <c r="BY151" s="280"/>
      <c r="BZ151" s="280"/>
      <c r="CA151" s="280"/>
      <c r="CB151" s="280"/>
      <c r="CC151" s="280"/>
      <c r="CD151" s="280"/>
      <c r="CE151" s="280"/>
      <c r="CF151" s="280"/>
      <c r="CG151" s="280"/>
      <c r="CH151" s="280"/>
      <c r="CI151" s="280"/>
      <c r="CJ151" s="280"/>
      <c r="CK151" s="280"/>
      <c r="CL151" s="280"/>
      <c r="CM151" s="280"/>
      <c r="CN151" s="280"/>
      <c r="CO151" s="280"/>
      <c r="CP151" s="280"/>
      <c r="CQ151" s="280"/>
      <c r="CR151" s="280"/>
      <c r="CS151" s="280"/>
      <c r="CT151" s="280"/>
      <c r="CU151" s="280"/>
      <c r="CV151" s="280"/>
      <c r="CW151" s="280"/>
      <c r="CX151" s="280"/>
      <c r="CY151" s="280"/>
      <c r="CZ151" s="280"/>
      <c r="DA151" s="280"/>
      <c r="DB151" s="280"/>
      <c r="DC151" s="280"/>
      <c r="DD151" s="280"/>
      <c r="DE151" s="280"/>
      <c r="DF151" s="280"/>
      <c r="DG151" s="280"/>
      <c r="DH151" s="280"/>
      <c r="DI151" s="280"/>
      <c r="DJ151" s="280"/>
      <c r="DK151" s="280"/>
      <c r="DL151" s="280"/>
      <c r="DM151" s="280"/>
      <c r="DN151" s="280"/>
      <c r="DO151" s="280"/>
      <c r="DP151" s="280"/>
      <c r="DQ151" s="280"/>
      <c r="DR151" s="280"/>
      <c r="DS151" s="280"/>
      <c r="DT151" s="280"/>
      <c r="DU151" s="280"/>
      <c r="DV151" s="280"/>
      <c r="DW151" s="280"/>
      <c r="DX151" s="280"/>
      <c r="DY151" s="321"/>
      <c r="DZ151" s="321"/>
      <c r="EA151" s="321"/>
      <c r="EB151" s="321"/>
      <c r="EC151" s="321"/>
      <c r="ED151" s="321"/>
      <c r="EE151" s="321"/>
      <c r="EF151" s="321"/>
      <c r="EG151" s="321"/>
      <c r="EH151" s="321"/>
      <c r="EI151" s="280"/>
      <c r="EJ151" s="280"/>
      <c r="EK151" s="280"/>
      <c r="EL151" s="280"/>
      <c r="EM151" s="280"/>
      <c r="EN151" s="280"/>
      <c r="EO151" s="280"/>
      <c r="EP151" s="280"/>
      <c r="EQ151" s="280"/>
      <c r="ER151" s="280"/>
      <c r="ES151" s="280"/>
      <c r="ET151" s="280"/>
      <c r="EU151" s="280"/>
      <c r="EV151" s="280"/>
      <c r="EW151" s="280"/>
      <c r="EX151" s="280"/>
      <c r="EY151" s="280"/>
      <c r="EZ151" s="280"/>
      <c r="FA151" s="280"/>
      <c r="FB151" s="280"/>
      <c r="FC151" s="280"/>
      <c r="FD151" s="280"/>
      <c r="FE151" s="280"/>
      <c r="FF151" s="280"/>
      <c r="FG151" s="280"/>
      <c r="FH151" s="280"/>
      <c r="FI151" s="280"/>
      <c r="FJ151" s="280"/>
      <c r="FK151" s="280"/>
      <c r="FL151" s="280"/>
      <c r="FM151" s="280"/>
      <c r="FN151" s="280"/>
      <c r="FO151" s="280"/>
      <c r="FP151" s="280"/>
      <c r="FQ151" s="280"/>
      <c r="FR151" s="280"/>
      <c r="FS151" s="280"/>
      <c r="FT151" s="280"/>
      <c r="FU151" s="280"/>
      <c r="FV151" s="280"/>
      <c r="FW151" s="280"/>
      <c r="FX151" s="280"/>
      <c r="FY151" s="280"/>
      <c r="FZ151" s="280"/>
      <c r="GA151" s="280"/>
      <c r="GB151" s="280"/>
      <c r="GC151" s="280"/>
      <c r="GD151" s="280"/>
      <c r="GE151" s="280"/>
      <c r="GF151" s="280"/>
      <c r="GG151" s="280"/>
      <c r="GH151" s="280"/>
      <c r="GI151" s="280"/>
      <c r="GJ151" s="280"/>
      <c r="GK151" s="280"/>
      <c r="GL151" s="280"/>
      <c r="GM151" s="280"/>
      <c r="GN151" s="280"/>
      <c r="GO151" s="280"/>
      <c r="GP151" s="280"/>
      <c r="GQ151" s="280"/>
      <c r="GR151" s="280"/>
      <c r="GS151" s="280"/>
      <c r="GT151" s="280"/>
      <c r="GU151" s="280"/>
      <c r="GV151" s="280"/>
      <c r="GW151" s="280"/>
      <c r="GX151" s="280"/>
      <c r="GY151" s="280"/>
      <c r="GZ151" s="280"/>
      <c r="HA151" s="280"/>
      <c r="HB151" s="280"/>
      <c r="HC151" s="280"/>
      <c r="HD151" s="280"/>
      <c r="HE151" s="280"/>
      <c r="HF151" s="280"/>
      <c r="HG151" s="280"/>
      <c r="HH151" s="280"/>
      <c r="HI151" s="280"/>
      <c r="HJ151" s="280"/>
      <c r="HK151" s="280"/>
      <c r="HL151" s="280"/>
      <c r="HM151" s="280"/>
      <c r="HN151" s="280"/>
      <c r="HO151" s="280"/>
      <c r="HP151" s="280"/>
      <c r="HQ151" s="280"/>
      <c r="HR151" s="280"/>
      <c r="HS151" s="280"/>
      <c r="HT151" s="280"/>
      <c r="HU151" s="280"/>
      <c r="HV151" s="280"/>
      <c r="HW151" s="280"/>
      <c r="HX151" s="280"/>
      <c r="HY151" s="280"/>
      <c r="HZ151" s="280"/>
      <c r="IA151" s="280"/>
      <c r="IB151" s="280"/>
      <c r="IC151" s="280"/>
      <c r="ID151" s="280"/>
      <c r="IE151" s="280"/>
      <c r="IF151" s="280"/>
      <c r="IG151" s="280"/>
      <c r="IH151" s="280"/>
      <c r="II151" s="280"/>
      <c r="IJ151" s="280"/>
    </row>
    <row r="152" spans="1:244" s="281" customFormat="1" ht="15">
      <c r="A152" s="280"/>
      <c r="D152" s="331"/>
      <c r="E152" s="331"/>
      <c r="F152" s="331"/>
      <c r="G152" s="321"/>
      <c r="H152" s="280"/>
      <c r="I152" s="320"/>
      <c r="J152" s="320"/>
      <c r="K152" s="280"/>
      <c r="L152" s="280"/>
      <c r="M152" s="280"/>
      <c r="N152" s="280"/>
      <c r="O152" s="280"/>
      <c r="P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  <c r="BH152" s="280"/>
      <c r="BI152" s="280"/>
      <c r="BJ152" s="280"/>
      <c r="BK152" s="280"/>
      <c r="BL152" s="280"/>
      <c r="BM152" s="280"/>
      <c r="BN152" s="280"/>
      <c r="BO152" s="280"/>
      <c r="BP152" s="280"/>
      <c r="BQ152" s="280"/>
      <c r="BR152" s="280"/>
      <c r="BS152" s="280"/>
      <c r="BT152" s="280"/>
      <c r="BU152" s="280"/>
      <c r="BV152" s="280"/>
      <c r="BW152" s="280"/>
      <c r="BX152" s="280"/>
      <c r="BY152" s="280"/>
      <c r="BZ152" s="280"/>
      <c r="CA152" s="280"/>
      <c r="CB152" s="280"/>
      <c r="CC152" s="280"/>
      <c r="CD152" s="280"/>
      <c r="CE152" s="280"/>
      <c r="CF152" s="280"/>
      <c r="CG152" s="280"/>
      <c r="CH152" s="280"/>
      <c r="CI152" s="280"/>
      <c r="CJ152" s="280"/>
      <c r="CK152" s="280"/>
      <c r="CL152" s="280"/>
      <c r="CM152" s="280"/>
      <c r="CN152" s="280"/>
      <c r="CO152" s="280"/>
      <c r="CP152" s="280"/>
      <c r="CQ152" s="280"/>
      <c r="CR152" s="280"/>
      <c r="CS152" s="280"/>
      <c r="CT152" s="280"/>
      <c r="CU152" s="280"/>
      <c r="CV152" s="280"/>
      <c r="CW152" s="280"/>
      <c r="CX152" s="280"/>
      <c r="CY152" s="280"/>
      <c r="CZ152" s="280"/>
      <c r="DA152" s="280"/>
      <c r="DB152" s="280"/>
      <c r="DC152" s="280"/>
      <c r="DD152" s="280"/>
      <c r="DE152" s="280"/>
      <c r="DF152" s="280"/>
      <c r="DG152" s="280"/>
      <c r="DH152" s="280"/>
      <c r="DI152" s="280"/>
      <c r="DJ152" s="280"/>
      <c r="DK152" s="280"/>
      <c r="DL152" s="280"/>
      <c r="DM152" s="280"/>
      <c r="DN152" s="280"/>
      <c r="DO152" s="280"/>
      <c r="DP152" s="280"/>
      <c r="DQ152" s="280"/>
      <c r="DR152" s="280"/>
      <c r="DS152" s="280"/>
      <c r="DT152" s="280"/>
      <c r="DU152" s="280"/>
      <c r="DV152" s="280"/>
      <c r="DW152" s="280"/>
      <c r="DX152" s="280"/>
      <c r="DY152" s="280"/>
      <c r="DZ152" s="280"/>
      <c r="EA152" s="280"/>
      <c r="EB152" s="280"/>
      <c r="EC152" s="280"/>
      <c r="ED152" s="280"/>
      <c r="EE152" s="280"/>
      <c r="EF152" s="280"/>
      <c r="EG152" s="280"/>
      <c r="EH152" s="280"/>
      <c r="EI152" s="280"/>
      <c r="EJ152" s="280"/>
      <c r="EK152" s="280"/>
      <c r="EL152" s="280"/>
      <c r="EM152" s="280"/>
      <c r="EN152" s="280"/>
      <c r="EO152" s="280"/>
      <c r="EP152" s="280"/>
      <c r="EQ152" s="280"/>
      <c r="ER152" s="280"/>
      <c r="ES152" s="280"/>
      <c r="ET152" s="280"/>
      <c r="EU152" s="280"/>
      <c r="EV152" s="280"/>
      <c r="EW152" s="280"/>
      <c r="EX152" s="280"/>
      <c r="EY152" s="280"/>
      <c r="EZ152" s="280"/>
      <c r="FA152" s="280"/>
      <c r="FB152" s="280"/>
      <c r="FC152" s="280"/>
      <c r="FD152" s="280"/>
      <c r="FE152" s="280"/>
      <c r="FF152" s="280"/>
      <c r="FG152" s="280"/>
      <c r="FH152" s="280"/>
      <c r="FI152" s="280"/>
      <c r="FJ152" s="280"/>
      <c r="FK152" s="280"/>
      <c r="FL152" s="280"/>
      <c r="FM152" s="280"/>
      <c r="FN152" s="280"/>
      <c r="FO152" s="280"/>
      <c r="FP152" s="280"/>
      <c r="FQ152" s="280"/>
      <c r="FR152" s="280"/>
      <c r="FS152" s="280"/>
      <c r="FT152" s="280"/>
      <c r="FU152" s="280"/>
      <c r="FV152" s="280"/>
      <c r="FW152" s="280"/>
      <c r="FX152" s="280"/>
      <c r="FY152" s="280"/>
      <c r="FZ152" s="280"/>
      <c r="GA152" s="280"/>
      <c r="GB152" s="280"/>
      <c r="GC152" s="280"/>
      <c r="GD152" s="280"/>
      <c r="GE152" s="280"/>
      <c r="GF152" s="280"/>
      <c r="GG152" s="280"/>
      <c r="GH152" s="280"/>
      <c r="GI152" s="280"/>
      <c r="GJ152" s="280"/>
      <c r="GK152" s="280"/>
      <c r="GL152" s="280"/>
      <c r="GM152" s="280"/>
      <c r="GN152" s="280"/>
      <c r="GO152" s="280"/>
      <c r="GP152" s="280"/>
      <c r="GQ152" s="280"/>
      <c r="GR152" s="280"/>
      <c r="GS152" s="280"/>
      <c r="GT152" s="280"/>
      <c r="GU152" s="280"/>
      <c r="GV152" s="280"/>
      <c r="GW152" s="280"/>
      <c r="GX152" s="280"/>
      <c r="GY152" s="280"/>
      <c r="GZ152" s="280"/>
      <c r="HA152" s="280"/>
      <c r="HB152" s="280"/>
      <c r="HC152" s="280"/>
      <c r="HD152" s="280"/>
      <c r="HE152" s="280"/>
      <c r="HF152" s="280"/>
      <c r="HG152" s="280"/>
      <c r="HH152" s="280"/>
      <c r="HI152" s="280"/>
      <c r="HJ152" s="280"/>
      <c r="HK152" s="280"/>
      <c r="HL152" s="280"/>
      <c r="HM152" s="280"/>
      <c r="HN152" s="280"/>
      <c r="HO152" s="280"/>
      <c r="HP152" s="280"/>
      <c r="HQ152" s="280"/>
      <c r="HR152" s="280"/>
      <c r="HS152" s="280"/>
      <c r="HT152" s="280"/>
      <c r="HU152" s="280"/>
      <c r="HV152" s="280"/>
      <c r="HW152" s="280"/>
      <c r="HX152" s="280"/>
      <c r="HY152" s="280"/>
      <c r="HZ152" s="280"/>
      <c r="IA152" s="280"/>
      <c r="IB152" s="280"/>
      <c r="IC152" s="280"/>
      <c r="ID152" s="280"/>
      <c r="IE152" s="280"/>
      <c r="IF152" s="280"/>
      <c r="IG152" s="280"/>
      <c r="IH152" s="280"/>
      <c r="II152" s="280"/>
      <c r="IJ152" s="280"/>
    </row>
    <row r="153" spans="1:244" s="281" customFormat="1" ht="15">
      <c r="A153" s="280"/>
      <c r="D153" s="331"/>
      <c r="E153" s="331"/>
      <c r="F153" s="331"/>
      <c r="G153" s="321"/>
      <c r="H153" s="280"/>
      <c r="I153" s="320"/>
      <c r="J153" s="320"/>
      <c r="K153" s="280"/>
      <c r="L153" s="280"/>
      <c r="M153" s="280"/>
      <c r="N153" s="280"/>
      <c r="O153" s="280"/>
      <c r="P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0"/>
      <c r="BL153" s="280"/>
      <c r="BM153" s="280"/>
      <c r="BN153" s="280"/>
      <c r="BO153" s="280"/>
      <c r="BP153" s="280"/>
      <c r="BQ153" s="280"/>
      <c r="BR153" s="280"/>
      <c r="BS153" s="280"/>
      <c r="BT153" s="280"/>
      <c r="BU153" s="280"/>
      <c r="BV153" s="280"/>
      <c r="BW153" s="280"/>
      <c r="BX153" s="280"/>
      <c r="BY153" s="280"/>
      <c r="BZ153" s="280"/>
      <c r="CA153" s="280"/>
      <c r="CB153" s="280"/>
      <c r="CC153" s="280"/>
      <c r="CD153" s="280"/>
      <c r="CE153" s="280"/>
      <c r="CF153" s="280"/>
      <c r="CG153" s="280"/>
      <c r="CH153" s="280"/>
      <c r="CI153" s="280"/>
      <c r="CJ153" s="280"/>
      <c r="CK153" s="280"/>
      <c r="CL153" s="280"/>
      <c r="CM153" s="280"/>
      <c r="CN153" s="280"/>
      <c r="CO153" s="280"/>
      <c r="CP153" s="280"/>
      <c r="CQ153" s="280"/>
      <c r="CR153" s="280"/>
      <c r="CS153" s="280"/>
      <c r="CT153" s="280"/>
      <c r="CU153" s="280"/>
      <c r="CV153" s="280"/>
      <c r="CW153" s="280"/>
      <c r="CX153" s="280"/>
      <c r="CY153" s="280"/>
      <c r="CZ153" s="280"/>
      <c r="DA153" s="280"/>
      <c r="DB153" s="280"/>
      <c r="DC153" s="280"/>
      <c r="DD153" s="280"/>
      <c r="DE153" s="280"/>
      <c r="DF153" s="280"/>
      <c r="DG153" s="280"/>
      <c r="DH153" s="280"/>
      <c r="DI153" s="280"/>
      <c r="DJ153" s="280"/>
      <c r="DK153" s="280"/>
      <c r="DL153" s="280"/>
      <c r="DM153" s="280"/>
      <c r="DN153" s="280"/>
      <c r="DO153" s="280"/>
      <c r="DP153" s="280"/>
      <c r="DQ153" s="280"/>
      <c r="DR153" s="280"/>
      <c r="DS153" s="280"/>
      <c r="DT153" s="280"/>
      <c r="DU153" s="280"/>
      <c r="DV153" s="280"/>
      <c r="DW153" s="280"/>
      <c r="DX153" s="280"/>
      <c r="DY153" s="280"/>
      <c r="DZ153" s="280"/>
      <c r="EA153" s="280"/>
      <c r="EB153" s="280"/>
      <c r="EC153" s="280"/>
      <c r="ED153" s="280"/>
      <c r="EE153" s="280"/>
      <c r="EF153" s="280"/>
      <c r="EG153" s="280"/>
      <c r="EH153" s="280"/>
      <c r="EI153" s="280"/>
      <c r="EJ153" s="280"/>
      <c r="EK153" s="280"/>
      <c r="EL153" s="280"/>
      <c r="EM153" s="280"/>
      <c r="EN153" s="280"/>
      <c r="EO153" s="280"/>
      <c r="EP153" s="280"/>
      <c r="EQ153" s="280"/>
      <c r="ER153" s="280"/>
      <c r="ES153" s="280"/>
      <c r="ET153" s="280"/>
      <c r="EU153" s="280"/>
      <c r="EV153" s="280"/>
      <c r="EW153" s="280"/>
      <c r="EX153" s="280"/>
      <c r="EY153" s="280"/>
      <c r="EZ153" s="280"/>
      <c r="FA153" s="280"/>
      <c r="FB153" s="280"/>
      <c r="FC153" s="280"/>
      <c r="FD153" s="280"/>
      <c r="FE153" s="280"/>
      <c r="FF153" s="280"/>
      <c r="FG153" s="280"/>
      <c r="FH153" s="280"/>
      <c r="FI153" s="280"/>
      <c r="FJ153" s="280"/>
      <c r="FK153" s="280"/>
      <c r="FL153" s="280"/>
      <c r="FM153" s="280"/>
      <c r="FN153" s="280"/>
      <c r="FO153" s="280"/>
      <c r="FP153" s="280"/>
      <c r="FQ153" s="280"/>
      <c r="FR153" s="280"/>
      <c r="FS153" s="280"/>
      <c r="FT153" s="280"/>
      <c r="FU153" s="280"/>
      <c r="FV153" s="280"/>
      <c r="FW153" s="280"/>
      <c r="FX153" s="280"/>
      <c r="FY153" s="280"/>
      <c r="FZ153" s="280"/>
      <c r="GA153" s="280"/>
      <c r="GB153" s="280"/>
      <c r="GC153" s="280"/>
      <c r="GD153" s="280"/>
      <c r="GE153" s="280"/>
      <c r="GF153" s="280"/>
      <c r="GG153" s="280"/>
      <c r="GH153" s="280"/>
      <c r="GI153" s="280"/>
      <c r="GJ153" s="280"/>
      <c r="GK153" s="280"/>
      <c r="GL153" s="280"/>
      <c r="GM153" s="280"/>
      <c r="GN153" s="280"/>
      <c r="GO153" s="280"/>
      <c r="GP153" s="280"/>
      <c r="GQ153" s="280"/>
      <c r="GR153" s="280"/>
      <c r="GS153" s="280"/>
      <c r="GT153" s="280"/>
      <c r="GU153" s="280"/>
      <c r="GV153" s="280"/>
      <c r="GW153" s="280"/>
      <c r="GX153" s="280"/>
      <c r="GY153" s="280"/>
      <c r="GZ153" s="280"/>
      <c r="HA153" s="280"/>
      <c r="HB153" s="280"/>
      <c r="HC153" s="280"/>
      <c r="HD153" s="280"/>
      <c r="HE153" s="280"/>
      <c r="HF153" s="280"/>
      <c r="HG153" s="280"/>
      <c r="HH153" s="280"/>
      <c r="HI153" s="280"/>
      <c r="HJ153" s="280"/>
      <c r="HK153" s="280"/>
      <c r="HL153" s="280"/>
      <c r="HM153" s="280"/>
      <c r="HN153" s="280"/>
      <c r="HO153" s="280"/>
      <c r="HP153" s="280"/>
      <c r="HQ153" s="280"/>
      <c r="HR153" s="280"/>
      <c r="HS153" s="280"/>
      <c r="HT153" s="280"/>
      <c r="HU153" s="280"/>
      <c r="HV153" s="280"/>
      <c r="HW153" s="280"/>
      <c r="HX153" s="280"/>
      <c r="HY153" s="280"/>
      <c r="HZ153" s="280"/>
      <c r="IA153" s="280"/>
      <c r="IB153" s="280"/>
      <c r="IC153" s="280"/>
      <c r="ID153" s="280"/>
      <c r="IE153" s="280"/>
      <c r="IF153" s="280"/>
      <c r="IG153" s="280"/>
      <c r="IH153" s="280"/>
      <c r="II153" s="280"/>
      <c r="IJ153" s="280"/>
    </row>
    <row r="154" spans="1:244" s="281" customFormat="1" ht="15">
      <c r="A154" s="280"/>
      <c r="D154" s="331"/>
      <c r="E154" s="331"/>
      <c r="F154" s="331"/>
      <c r="G154" s="321"/>
      <c r="H154" s="280"/>
      <c r="I154" s="320"/>
      <c r="J154" s="320"/>
      <c r="K154" s="280"/>
      <c r="L154" s="280"/>
      <c r="M154" s="280"/>
      <c r="N154" s="280"/>
      <c r="O154" s="280"/>
      <c r="P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  <c r="BH154" s="280"/>
      <c r="BI154" s="280"/>
      <c r="BJ154" s="280"/>
      <c r="BK154" s="280"/>
      <c r="BL154" s="280"/>
      <c r="BM154" s="280"/>
      <c r="BN154" s="280"/>
      <c r="BO154" s="280"/>
      <c r="BP154" s="280"/>
      <c r="BQ154" s="280"/>
      <c r="BR154" s="280"/>
      <c r="BS154" s="280"/>
      <c r="BT154" s="280"/>
      <c r="BU154" s="280"/>
      <c r="BV154" s="280"/>
      <c r="BW154" s="280"/>
      <c r="BX154" s="280"/>
      <c r="BY154" s="280"/>
      <c r="BZ154" s="280"/>
      <c r="CA154" s="280"/>
      <c r="CB154" s="280"/>
      <c r="CC154" s="280"/>
      <c r="CD154" s="280"/>
      <c r="CE154" s="280"/>
      <c r="CF154" s="280"/>
      <c r="CG154" s="280"/>
      <c r="CH154" s="280"/>
      <c r="CI154" s="280"/>
      <c r="CJ154" s="280"/>
      <c r="CK154" s="280"/>
      <c r="CL154" s="280"/>
      <c r="CM154" s="280"/>
      <c r="CN154" s="280"/>
      <c r="CO154" s="280"/>
      <c r="CP154" s="280"/>
      <c r="CQ154" s="280"/>
      <c r="CR154" s="280"/>
      <c r="CS154" s="280"/>
      <c r="CT154" s="280"/>
      <c r="CU154" s="280"/>
      <c r="CV154" s="280"/>
      <c r="CW154" s="280"/>
      <c r="CX154" s="280"/>
      <c r="CY154" s="280"/>
      <c r="CZ154" s="280"/>
      <c r="DA154" s="280"/>
      <c r="DB154" s="280"/>
      <c r="DC154" s="280"/>
      <c r="DD154" s="280"/>
      <c r="DE154" s="280"/>
      <c r="DF154" s="280"/>
      <c r="DG154" s="280"/>
      <c r="DH154" s="280"/>
      <c r="DI154" s="280"/>
      <c r="DJ154" s="280"/>
      <c r="DK154" s="280"/>
      <c r="DL154" s="280"/>
      <c r="DM154" s="280"/>
      <c r="DN154" s="280"/>
      <c r="DO154" s="280"/>
      <c r="DP154" s="280"/>
      <c r="DQ154" s="280"/>
      <c r="DR154" s="280"/>
      <c r="DS154" s="280"/>
      <c r="DT154" s="280"/>
      <c r="DU154" s="280"/>
      <c r="DV154" s="280"/>
      <c r="DW154" s="280"/>
      <c r="DX154" s="280"/>
      <c r="DY154" s="280"/>
      <c r="DZ154" s="280"/>
      <c r="EA154" s="280"/>
      <c r="EB154" s="280"/>
      <c r="EC154" s="280"/>
      <c r="ED154" s="280"/>
      <c r="EE154" s="280"/>
      <c r="EF154" s="280"/>
      <c r="EG154" s="280"/>
      <c r="EH154" s="280"/>
      <c r="EI154" s="280"/>
      <c r="EJ154" s="280"/>
      <c r="EK154" s="280"/>
      <c r="EL154" s="280"/>
      <c r="EM154" s="280"/>
      <c r="EN154" s="280"/>
      <c r="EO154" s="280"/>
      <c r="EP154" s="280"/>
      <c r="EQ154" s="280"/>
      <c r="ER154" s="280"/>
      <c r="ES154" s="280"/>
      <c r="ET154" s="280"/>
      <c r="EU154" s="280"/>
      <c r="EV154" s="280"/>
      <c r="EW154" s="280"/>
      <c r="EX154" s="280"/>
      <c r="EY154" s="280"/>
      <c r="EZ154" s="280"/>
      <c r="FA154" s="280"/>
      <c r="FB154" s="280"/>
      <c r="FC154" s="280"/>
      <c r="FD154" s="280"/>
      <c r="FE154" s="280"/>
      <c r="FF154" s="280"/>
      <c r="FG154" s="280"/>
      <c r="FH154" s="280"/>
      <c r="FI154" s="280"/>
      <c r="FJ154" s="280"/>
      <c r="FK154" s="280"/>
      <c r="FL154" s="280"/>
      <c r="FM154" s="280"/>
      <c r="FN154" s="280"/>
      <c r="FO154" s="280"/>
      <c r="FP154" s="280"/>
      <c r="FQ154" s="280"/>
      <c r="FR154" s="280"/>
      <c r="FS154" s="280"/>
      <c r="FT154" s="280"/>
      <c r="FU154" s="280"/>
      <c r="FV154" s="280"/>
      <c r="FW154" s="280"/>
      <c r="FX154" s="280"/>
      <c r="FY154" s="280"/>
      <c r="FZ154" s="280"/>
      <c r="GA154" s="280"/>
      <c r="GB154" s="280"/>
      <c r="GC154" s="280"/>
      <c r="GD154" s="280"/>
      <c r="GE154" s="280"/>
      <c r="GF154" s="280"/>
      <c r="GG154" s="280"/>
      <c r="GH154" s="280"/>
      <c r="GI154" s="280"/>
      <c r="GJ154" s="280"/>
      <c r="GK154" s="280"/>
      <c r="GL154" s="280"/>
      <c r="GM154" s="280"/>
      <c r="GN154" s="280"/>
      <c r="GO154" s="280"/>
      <c r="GP154" s="280"/>
      <c r="GQ154" s="280"/>
      <c r="GR154" s="280"/>
      <c r="GS154" s="280"/>
      <c r="GT154" s="280"/>
      <c r="GU154" s="280"/>
      <c r="GV154" s="280"/>
      <c r="GW154" s="280"/>
      <c r="GX154" s="280"/>
      <c r="GY154" s="280"/>
      <c r="GZ154" s="280"/>
      <c r="HA154" s="280"/>
      <c r="HB154" s="280"/>
      <c r="HC154" s="280"/>
      <c r="HD154" s="280"/>
      <c r="HE154" s="280"/>
      <c r="HF154" s="280"/>
      <c r="HG154" s="280"/>
      <c r="HH154" s="280"/>
      <c r="HI154" s="280"/>
      <c r="HJ154" s="280"/>
      <c r="HK154" s="280"/>
      <c r="HL154" s="280"/>
      <c r="HM154" s="280"/>
      <c r="HN154" s="280"/>
      <c r="HO154" s="280"/>
      <c r="HP154" s="280"/>
      <c r="HQ154" s="280"/>
      <c r="HR154" s="280"/>
      <c r="HS154" s="280"/>
      <c r="HT154" s="280"/>
      <c r="HU154" s="280"/>
      <c r="HV154" s="280"/>
      <c r="HW154" s="280"/>
      <c r="HX154" s="280"/>
      <c r="HY154" s="280"/>
      <c r="HZ154" s="280"/>
      <c r="IA154" s="280"/>
      <c r="IB154" s="280"/>
      <c r="IC154" s="280"/>
      <c r="ID154" s="280"/>
      <c r="IE154" s="280"/>
      <c r="IF154" s="280"/>
      <c r="IG154" s="280"/>
      <c r="IH154" s="280"/>
      <c r="II154" s="280"/>
      <c r="IJ154" s="280"/>
    </row>
    <row r="155" spans="1:244" s="281" customFormat="1" ht="15">
      <c r="A155" s="280"/>
      <c r="D155" s="331"/>
      <c r="E155" s="331"/>
      <c r="F155" s="331"/>
      <c r="G155" s="321"/>
      <c r="H155" s="280"/>
      <c r="I155" s="320"/>
      <c r="J155" s="320"/>
      <c r="K155" s="280"/>
      <c r="L155" s="280"/>
      <c r="M155" s="280"/>
      <c r="N155" s="280"/>
      <c r="O155" s="280"/>
      <c r="P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280"/>
      <c r="BO155" s="280"/>
      <c r="BP155" s="280"/>
      <c r="BQ155" s="280"/>
      <c r="BR155" s="280"/>
      <c r="BS155" s="280"/>
      <c r="BT155" s="280"/>
      <c r="BU155" s="280"/>
      <c r="BV155" s="280"/>
      <c r="BW155" s="280"/>
      <c r="BX155" s="280"/>
      <c r="BY155" s="280"/>
      <c r="BZ155" s="280"/>
      <c r="CA155" s="280"/>
      <c r="CB155" s="280"/>
      <c r="CC155" s="280"/>
      <c r="CD155" s="280"/>
      <c r="CE155" s="280"/>
      <c r="CF155" s="280"/>
      <c r="CG155" s="280"/>
      <c r="CH155" s="280"/>
      <c r="CI155" s="280"/>
      <c r="CJ155" s="280"/>
      <c r="CK155" s="280"/>
      <c r="CL155" s="280"/>
      <c r="CM155" s="280"/>
      <c r="CN155" s="280"/>
      <c r="CO155" s="280"/>
      <c r="CP155" s="280"/>
      <c r="CQ155" s="280"/>
      <c r="CR155" s="280"/>
      <c r="CS155" s="280"/>
      <c r="CT155" s="280"/>
      <c r="CU155" s="280"/>
      <c r="CV155" s="280"/>
      <c r="CW155" s="280"/>
      <c r="CX155" s="280"/>
      <c r="CY155" s="280"/>
      <c r="CZ155" s="280"/>
      <c r="DA155" s="280"/>
      <c r="DB155" s="280"/>
      <c r="DC155" s="280"/>
      <c r="DD155" s="280"/>
      <c r="DE155" s="280"/>
      <c r="DF155" s="280"/>
      <c r="DG155" s="280"/>
      <c r="DH155" s="280"/>
      <c r="DI155" s="280"/>
      <c r="DJ155" s="280"/>
      <c r="DK155" s="280"/>
      <c r="DL155" s="280"/>
      <c r="DM155" s="280"/>
      <c r="DN155" s="280"/>
      <c r="DO155" s="280"/>
      <c r="DP155" s="280"/>
      <c r="DQ155" s="280"/>
      <c r="DR155" s="280"/>
      <c r="DS155" s="280"/>
      <c r="DT155" s="280"/>
      <c r="DU155" s="280"/>
      <c r="DV155" s="280"/>
      <c r="DW155" s="280"/>
      <c r="DX155" s="280"/>
      <c r="DY155" s="280"/>
      <c r="DZ155" s="280"/>
      <c r="EA155" s="280"/>
      <c r="EB155" s="280"/>
      <c r="EC155" s="280"/>
      <c r="ED155" s="280"/>
      <c r="EE155" s="280"/>
      <c r="EF155" s="280"/>
      <c r="EG155" s="280"/>
      <c r="EH155" s="280"/>
      <c r="EI155" s="280"/>
      <c r="EJ155" s="280"/>
      <c r="EK155" s="280"/>
      <c r="EL155" s="280"/>
      <c r="EM155" s="280"/>
      <c r="EN155" s="280"/>
      <c r="EO155" s="280"/>
      <c r="EP155" s="280"/>
      <c r="EQ155" s="280"/>
      <c r="ER155" s="280"/>
      <c r="ES155" s="280"/>
      <c r="ET155" s="280"/>
      <c r="EU155" s="280"/>
      <c r="EV155" s="280"/>
      <c r="EW155" s="280"/>
      <c r="EX155" s="280"/>
      <c r="EY155" s="280"/>
      <c r="EZ155" s="280"/>
      <c r="FA155" s="280"/>
      <c r="FB155" s="280"/>
      <c r="FC155" s="280"/>
      <c r="FD155" s="280"/>
      <c r="FE155" s="280"/>
      <c r="FF155" s="280"/>
      <c r="FG155" s="280"/>
      <c r="FH155" s="280"/>
      <c r="FI155" s="280"/>
      <c r="FJ155" s="280"/>
      <c r="FK155" s="280"/>
      <c r="FL155" s="280"/>
      <c r="FM155" s="280"/>
      <c r="FN155" s="280"/>
      <c r="FO155" s="280"/>
      <c r="FP155" s="280"/>
      <c r="FQ155" s="280"/>
      <c r="FR155" s="280"/>
      <c r="FS155" s="280"/>
      <c r="FT155" s="280"/>
      <c r="FU155" s="280"/>
      <c r="FV155" s="280"/>
      <c r="FW155" s="280"/>
      <c r="FX155" s="280"/>
      <c r="FY155" s="280"/>
      <c r="FZ155" s="280"/>
      <c r="GA155" s="280"/>
      <c r="GB155" s="280"/>
      <c r="GC155" s="280"/>
      <c r="GD155" s="280"/>
      <c r="GE155" s="280"/>
      <c r="GF155" s="280"/>
      <c r="GG155" s="280"/>
      <c r="GH155" s="280"/>
      <c r="GI155" s="280"/>
      <c r="GJ155" s="280"/>
      <c r="GK155" s="280"/>
      <c r="GL155" s="280"/>
      <c r="GM155" s="280"/>
      <c r="GN155" s="280"/>
      <c r="GO155" s="280"/>
      <c r="GP155" s="280"/>
      <c r="GQ155" s="280"/>
      <c r="GR155" s="280"/>
      <c r="GS155" s="280"/>
      <c r="GT155" s="280"/>
      <c r="GU155" s="280"/>
      <c r="GV155" s="280"/>
      <c r="GW155" s="280"/>
      <c r="GX155" s="280"/>
      <c r="GY155" s="280"/>
      <c r="GZ155" s="280"/>
      <c r="HA155" s="280"/>
      <c r="HB155" s="280"/>
      <c r="HC155" s="280"/>
      <c r="HD155" s="280"/>
      <c r="HE155" s="280"/>
      <c r="HF155" s="280"/>
      <c r="HG155" s="280"/>
      <c r="HH155" s="280"/>
      <c r="HI155" s="280"/>
      <c r="HJ155" s="280"/>
      <c r="HK155" s="280"/>
      <c r="HL155" s="280"/>
      <c r="HM155" s="280"/>
      <c r="HN155" s="280"/>
      <c r="HO155" s="280"/>
      <c r="HP155" s="280"/>
      <c r="HQ155" s="280"/>
      <c r="HR155" s="280"/>
      <c r="HS155" s="280"/>
      <c r="HT155" s="280"/>
      <c r="HU155" s="280"/>
      <c r="HV155" s="280"/>
      <c r="HW155" s="280"/>
      <c r="HX155" s="280"/>
      <c r="HY155" s="280"/>
      <c r="HZ155" s="280"/>
      <c r="IA155" s="280"/>
      <c r="IB155" s="280"/>
      <c r="IC155" s="280"/>
      <c r="ID155" s="280"/>
      <c r="IE155" s="280"/>
      <c r="IF155" s="280"/>
      <c r="IG155" s="280"/>
      <c r="IH155" s="280"/>
      <c r="II155" s="280"/>
      <c r="IJ155" s="280"/>
    </row>
    <row r="156" spans="1:244" s="281" customFormat="1" ht="15">
      <c r="A156" s="280"/>
      <c r="D156" s="331"/>
      <c r="E156" s="331"/>
      <c r="F156" s="331"/>
      <c r="G156" s="321"/>
      <c r="H156" s="280"/>
      <c r="I156" s="320"/>
      <c r="J156" s="320"/>
      <c r="K156" s="280"/>
      <c r="L156" s="280"/>
      <c r="M156" s="280"/>
      <c r="N156" s="280"/>
      <c r="O156" s="280"/>
      <c r="P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0"/>
      <c r="BF156" s="280"/>
      <c r="BG156" s="280"/>
      <c r="BH156" s="280"/>
      <c r="BI156" s="280"/>
      <c r="BJ156" s="280"/>
      <c r="BK156" s="280"/>
      <c r="BL156" s="280"/>
      <c r="BM156" s="280"/>
      <c r="BN156" s="280"/>
      <c r="BO156" s="280"/>
      <c r="BP156" s="280"/>
      <c r="BQ156" s="280"/>
      <c r="BR156" s="280"/>
      <c r="BS156" s="280"/>
      <c r="BT156" s="280"/>
      <c r="BU156" s="280"/>
      <c r="BV156" s="280"/>
      <c r="BW156" s="280"/>
      <c r="BX156" s="280"/>
      <c r="BY156" s="280"/>
      <c r="BZ156" s="280"/>
      <c r="CA156" s="280"/>
      <c r="CB156" s="280"/>
      <c r="CC156" s="280"/>
      <c r="CD156" s="280"/>
      <c r="CE156" s="280"/>
      <c r="CF156" s="280"/>
      <c r="CG156" s="280"/>
      <c r="CH156" s="280"/>
      <c r="CI156" s="280"/>
      <c r="CJ156" s="280"/>
      <c r="CK156" s="280"/>
      <c r="CL156" s="280"/>
      <c r="CM156" s="280"/>
      <c r="CN156" s="280"/>
      <c r="CO156" s="280"/>
      <c r="CP156" s="280"/>
      <c r="CQ156" s="280"/>
      <c r="CR156" s="280"/>
      <c r="CS156" s="280"/>
      <c r="CT156" s="280"/>
      <c r="CU156" s="280"/>
      <c r="CV156" s="280"/>
      <c r="CW156" s="280"/>
      <c r="CX156" s="280"/>
      <c r="CY156" s="280"/>
      <c r="CZ156" s="280"/>
      <c r="DA156" s="280"/>
      <c r="DB156" s="280"/>
      <c r="DC156" s="280"/>
      <c r="DD156" s="280"/>
      <c r="DE156" s="280"/>
      <c r="DF156" s="280"/>
      <c r="DG156" s="280"/>
      <c r="DH156" s="280"/>
      <c r="DI156" s="280"/>
      <c r="DJ156" s="280"/>
      <c r="DK156" s="280"/>
      <c r="DL156" s="280"/>
      <c r="DM156" s="280"/>
      <c r="DN156" s="280"/>
      <c r="DO156" s="280"/>
      <c r="DP156" s="280"/>
      <c r="DQ156" s="280"/>
      <c r="DR156" s="280"/>
      <c r="DS156" s="280"/>
      <c r="DT156" s="280"/>
      <c r="DU156" s="280"/>
      <c r="DV156" s="280"/>
      <c r="DW156" s="280"/>
      <c r="DX156" s="280"/>
      <c r="DY156" s="280"/>
      <c r="DZ156" s="280"/>
      <c r="EA156" s="280"/>
      <c r="EB156" s="280"/>
      <c r="EC156" s="280"/>
      <c r="ED156" s="280"/>
      <c r="EE156" s="280"/>
      <c r="EF156" s="280"/>
      <c r="EG156" s="280"/>
      <c r="EH156" s="280"/>
      <c r="EI156" s="280"/>
      <c r="EJ156" s="280"/>
      <c r="EK156" s="280"/>
      <c r="EL156" s="280"/>
      <c r="EM156" s="280"/>
      <c r="EN156" s="280"/>
      <c r="EO156" s="280"/>
      <c r="EP156" s="280"/>
      <c r="EQ156" s="280"/>
      <c r="ER156" s="280"/>
      <c r="ES156" s="280"/>
      <c r="ET156" s="280"/>
      <c r="EU156" s="280"/>
      <c r="EV156" s="280"/>
      <c r="EW156" s="280"/>
      <c r="EX156" s="280"/>
      <c r="EY156" s="280"/>
      <c r="EZ156" s="280"/>
      <c r="FA156" s="280"/>
      <c r="FB156" s="280"/>
      <c r="FC156" s="280"/>
      <c r="FD156" s="280"/>
      <c r="FE156" s="280"/>
      <c r="FF156" s="280"/>
      <c r="FG156" s="280"/>
      <c r="FH156" s="280"/>
      <c r="FI156" s="280"/>
      <c r="FJ156" s="280"/>
      <c r="FK156" s="280"/>
      <c r="FL156" s="280"/>
      <c r="FM156" s="280"/>
      <c r="FN156" s="280"/>
      <c r="FO156" s="280"/>
      <c r="FP156" s="280"/>
      <c r="FQ156" s="280"/>
      <c r="FR156" s="280"/>
      <c r="FS156" s="280"/>
      <c r="FT156" s="280"/>
      <c r="FU156" s="280"/>
      <c r="FV156" s="280"/>
      <c r="FW156" s="280"/>
      <c r="FX156" s="280"/>
      <c r="FY156" s="280"/>
      <c r="FZ156" s="280"/>
      <c r="GA156" s="280"/>
      <c r="GB156" s="280"/>
      <c r="GC156" s="280"/>
      <c r="GD156" s="280"/>
      <c r="GE156" s="280"/>
      <c r="GF156" s="280"/>
      <c r="GG156" s="280"/>
      <c r="GH156" s="280"/>
      <c r="GI156" s="280"/>
      <c r="GJ156" s="280"/>
      <c r="GK156" s="280"/>
      <c r="GL156" s="280"/>
      <c r="GM156" s="280"/>
      <c r="GN156" s="280"/>
      <c r="GO156" s="280"/>
      <c r="GP156" s="280"/>
      <c r="GQ156" s="280"/>
      <c r="GR156" s="280"/>
      <c r="GS156" s="280"/>
      <c r="GT156" s="280"/>
      <c r="GU156" s="280"/>
      <c r="GV156" s="280"/>
      <c r="GW156" s="280"/>
      <c r="GX156" s="280"/>
      <c r="GY156" s="280"/>
      <c r="GZ156" s="280"/>
      <c r="HA156" s="280"/>
      <c r="HB156" s="280"/>
      <c r="HC156" s="280"/>
      <c r="HD156" s="280"/>
      <c r="HE156" s="280"/>
      <c r="HF156" s="280"/>
      <c r="HG156" s="280"/>
      <c r="HH156" s="280"/>
      <c r="HI156" s="280"/>
      <c r="HJ156" s="280"/>
      <c r="HK156" s="280"/>
      <c r="HL156" s="280"/>
      <c r="HM156" s="280"/>
      <c r="HN156" s="280"/>
      <c r="HO156" s="280"/>
      <c r="HP156" s="280"/>
      <c r="HQ156" s="280"/>
      <c r="HR156" s="280"/>
      <c r="HS156" s="280"/>
      <c r="HT156" s="280"/>
      <c r="HU156" s="280"/>
      <c r="HV156" s="280"/>
      <c r="HW156" s="280"/>
      <c r="HX156" s="280"/>
      <c r="HY156" s="280"/>
      <c r="HZ156" s="280"/>
      <c r="IA156" s="280"/>
      <c r="IB156" s="280"/>
      <c r="IC156" s="280"/>
      <c r="ID156" s="280"/>
      <c r="IE156" s="280"/>
      <c r="IF156" s="280"/>
      <c r="IG156" s="280"/>
      <c r="IH156" s="280"/>
      <c r="II156" s="280"/>
      <c r="IJ156" s="280"/>
    </row>
    <row r="157" spans="1:244" s="281" customFormat="1" ht="15">
      <c r="A157" s="280"/>
      <c r="D157" s="331"/>
      <c r="E157" s="331"/>
      <c r="F157" s="331"/>
      <c r="G157" s="321"/>
      <c r="H157" s="280"/>
      <c r="I157" s="320"/>
      <c r="J157" s="320"/>
      <c r="K157" s="280"/>
      <c r="L157" s="280"/>
      <c r="M157" s="280"/>
      <c r="N157" s="280"/>
      <c r="O157" s="280"/>
      <c r="P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  <c r="BC157" s="280"/>
      <c r="BD157" s="280"/>
      <c r="BE157" s="280"/>
      <c r="BF157" s="280"/>
      <c r="BG157" s="280"/>
      <c r="BH157" s="280"/>
      <c r="BI157" s="280"/>
      <c r="BJ157" s="280"/>
      <c r="BK157" s="280"/>
      <c r="BL157" s="280"/>
      <c r="BM157" s="280"/>
      <c r="BN157" s="280"/>
      <c r="BO157" s="280"/>
      <c r="BP157" s="280"/>
      <c r="BQ157" s="280"/>
      <c r="BR157" s="280"/>
      <c r="BS157" s="280"/>
      <c r="BT157" s="280"/>
      <c r="BU157" s="280"/>
      <c r="BV157" s="280"/>
      <c r="BW157" s="280"/>
      <c r="BX157" s="280"/>
      <c r="BY157" s="280"/>
      <c r="BZ157" s="280"/>
      <c r="CA157" s="280"/>
      <c r="CB157" s="280"/>
      <c r="CC157" s="280"/>
      <c r="CD157" s="280"/>
      <c r="CE157" s="280"/>
      <c r="CF157" s="280"/>
      <c r="CG157" s="280"/>
      <c r="CH157" s="280"/>
      <c r="CI157" s="280"/>
      <c r="CJ157" s="280"/>
      <c r="CK157" s="280"/>
      <c r="CL157" s="280"/>
      <c r="CM157" s="280"/>
      <c r="CN157" s="280"/>
      <c r="CO157" s="280"/>
      <c r="CP157" s="280"/>
      <c r="CQ157" s="280"/>
      <c r="CR157" s="280"/>
      <c r="CS157" s="280"/>
      <c r="CT157" s="280"/>
      <c r="CU157" s="280"/>
      <c r="CV157" s="280"/>
      <c r="CW157" s="280"/>
      <c r="CX157" s="280"/>
      <c r="CY157" s="280"/>
      <c r="CZ157" s="280"/>
      <c r="DA157" s="280"/>
      <c r="DB157" s="280"/>
      <c r="DC157" s="280"/>
      <c r="DD157" s="280"/>
      <c r="DE157" s="280"/>
      <c r="DF157" s="280"/>
      <c r="DG157" s="280"/>
      <c r="DH157" s="280"/>
      <c r="DI157" s="280"/>
      <c r="DJ157" s="280"/>
      <c r="DK157" s="280"/>
      <c r="DL157" s="280"/>
      <c r="DM157" s="280"/>
      <c r="DN157" s="280"/>
      <c r="DO157" s="280"/>
      <c r="DP157" s="280"/>
      <c r="DQ157" s="280"/>
      <c r="DR157" s="280"/>
      <c r="DS157" s="280"/>
      <c r="DT157" s="280"/>
      <c r="DU157" s="280"/>
      <c r="DV157" s="280"/>
      <c r="DW157" s="280"/>
      <c r="DX157" s="280"/>
      <c r="DY157" s="280"/>
      <c r="DZ157" s="280"/>
      <c r="EA157" s="280"/>
      <c r="EB157" s="280"/>
      <c r="EC157" s="280"/>
      <c r="ED157" s="280"/>
      <c r="EE157" s="280"/>
      <c r="EF157" s="280"/>
      <c r="EG157" s="280"/>
      <c r="EH157" s="280"/>
      <c r="EI157" s="280"/>
      <c r="EJ157" s="280"/>
      <c r="EK157" s="280"/>
      <c r="EL157" s="280"/>
      <c r="EM157" s="280"/>
      <c r="EN157" s="280"/>
      <c r="EO157" s="280"/>
      <c r="EP157" s="280"/>
      <c r="EQ157" s="280"/>
      <c r="ER157" s="280"/>
      <c r="ES157" s="280"/>
      <c r="ET157" s="280"/>
      <c r="EU157" s="280"/>
      <c r="EV157" s="280"/>
      <c r="EW157" s="280"/>
      <c r="EX157" s="280"/>
      <c r="EY157" s="280"/>
      <c r="EZ157" s="280"/>
      <c r="FA157" s="280"/>
      <c r="FB157" s="280"/>
      <c r="FC157" s="280"/>
      <c r="FD157" s="280"/>
      <c r="FE157" s="280"/>
      <c r="FF157" s="280"/>
      <c r="FG157" s="280"/>
      <c r="FH157" s="280"/>
      <c r="FI157" s="280"/>
      <c r="FJ157" s="280"/>
      <c r="FK157" s="280"/>
      <c r="FL157" s="280"/>
      <c r="FM157" s="280"/>
      <c r="FN157" s="280"/>
      <c r="FO157" s="280"/>
      <c r="FP157" s="280"/>
      <c r="FQ157" s="280"/>
      <c r="FR157" s="280"/>
      <c r="FS157" s="280"/>
      <c r="FT157" s="280"/>
      <c r="FU157" s="280"/>
      <c r="FV157" s="280"/>
      <c r="FW157" s="280"/>
      <c r="FX157" s="280"/>
      <c r="FY157" s="280"/>
      <c r="FZ157" s="280"/>
      <c r="GA157" s="280"/>
      <c r="GB157" s="280"/>
      <c r="GC157" s="280"/>
      <c r="GD157" s="280"/>
      <c r="GE157" s="280"/>
      <c r="GF157" s="280"/>
      <c r="GG157" s="280"/>
      <c r="GH157" s="280"/>
      <c r="GI157" s="280"/>
      <c r="GJ157" s="280"/>
      <c r="GK157" s="280"/>
      <c r="GL157" s="280"/>
      <c r="GM157" s="280"/>
      <c r="GN157" s="280"/>
      <c r="GO157" s="280"/>
      <c r="GP157" s="280"/>
      <c r="GQ157" s="280"/>
      <c r="GR157" s="280"/>
      <c r="GS157" s="280"/>
      <c r="GT157" s="280"/>
      <c r="GU157" s="280"/>
      <c r="GV157" s="280"/>
      <c r="GW157" s="280"/>
      <c r="GX157" s="280"/>
      <c r="GY157" s="280"/>
      <c r="GZ157" s="280"/>
      <c r="HA157" s="280"/>
      <c r="HB157" s="280"/>
      <c r="HC157" s="280"/>
      <c r="HD157" s="280"/>
      <c r="HE157" s="280"/>
      <c r="HF157" s="280"/>
      <c r="HG157" s="280"/>
      <c r="HH157" s="280"/>
      <c r="HI157" s="280"/>
      <c r="HJ157" s="280"/>
      <c r="HK157" s="280"/>
      <c r="HL157" s="280"/>
      <c r="HM157" s="280"/>
      <c r="HN157" s="280"/>
      <c r="HO157" s="280"/>
      <c r="HP157" s="280"/>
      <c r="HQ157" s="280"/>
      <c r="HR157" s="280"/>
      <c r="HS157" s="280"/>
      <c r="HT157" s="280"/>
      <c r="HU157" s="280"/>
      <c r="HV157" s="280"/>
      <c r="HW157" s="280"/>
      <c r="HX157" s="280"/>
      <c r="HY157" s="280"/>
      <c r="HZ157" s="280"/>
      <c r="IA157" s="280"/>
      <c r="IB157" s="280"/>
      <c r="IC157" s="280"/>
      <c r="ID157" s="280"/>
      <c r="IE157" s="280"/>
      <c r="IF157" s="280"/>
      <c r="IG157" s="280"/>
      <c r="IH157" s="280"/>
      <c r="II157" s="280"/>
      <c r="IJ157" s="280"/>
    </row>
    <row r="158" spans="1:244" s="281" customFormat="1" ht="15">
      <c r="A158" s="280"/>
      <c r="D158" s="331"/>
      <c r="E158" s="331"/>
      <c r="F158" s="331"/>
      <c r="G158" s="321"/>
      <c r="H158" s="280"/>
      <c r="I158" s="320"/>
      <c r="J158" s="320"/>
      <c r="K158" s="280"/>
      <c r="L158" s="280"/>
      <c r="M158" s="280"/>
      <c r="N158" s="280"/>
      <c r="O158" s="280"/>
      <c r="P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  <c r="AV158" s="280"/>
      <c r="AW158" s="280"/>
      <c r="AX158" s="280"/>
      <c r="AY158" s="280"/>
      <c r="AZ158" s="280"/>
      <c r="BA158" s="280"/>
      <c r="BB158" s="280"/>
      <c r="BC158" s="280"/>
      <c r="BD158" s="280"/>
      <c r="BE158" s="280"/>
      <c r="BF158" s="280"/>
      <c r="BG158" s="280"/>
      <c r="BH158" s="280"/>
      <c r="BI158" s="280"/>
      <c r="BJ158" s="280"/>
      <c r="BK158" s="280"/>
      <c r="BL158" s="280"/>
      <c r="BM158" s="280"/>
      <c r="BN158" s="280"/>
      <c r="BO158" s="280"/>
      <c r="BP158" s="280"/>
      <c r="BQ158" s="280"/>
      <c r="BR158" s="280"/>
      <c r="BS158" s="280"/>
      <c r="BT158" s="280"/>
      <c r="BU158" s="280"/>
      <c r="BV158" s="280"/>
      <c r="BW158" s="280"/>
      <c r="BX158" s="280"/>
      <c r="BY158" s="280"/>
      <c r="BZ158" s="280"/>
      <c r="CA158" s="280"/>
      <c r="CB158" s="280"/>
      <c r="CC158" s="280"/>
      <c r="CD158" s="280"/>
      <c r="CE158" s="280"/>
      <c r="CF158" s="280"/>
      <c r="CG158" s="280"/>
      <c r="CH158" s="280"/>
      <c r="CI158" s="280"/>
      <c r="CJ158" s="280"/>
      <c r="CK158" s="280"/>
      <c r="CL158" s="280"/>
      <c r="CM158" s="280"/>
      <c r="CN158" s="280"/>
      <c r="CO158" s="280"/>
      <c r="CP158" s="280"/>
      <c r="CQ158" s="280"/>
      <c r="CR158" s="280"/>
      <c r="CS158" s="280"/>
      <c r="CT158" s="280"/>
      <c r="CU158" s="280"/>
      <c r="CV158" s="280"/>
      <c r="CW158" s="280"/>
      <c r="CX158" s="280"/>
      <c r="CY158" s="280"/>
      <c r="CZ158" s="280"/>
      <c r="DA158" s="280"/>
      <c r="DB158" s="280"/>
      <c r="DC158" s="280"/>
      <c r="DD158" s="280"/>
      <c r="DE158" s="280"/>
      <c r="DF158" s="280"/>
      <c r="DG158" s="280"/>
      <c r="DH158" s="280"/>
      <c r="DI158" s="280"/>
      <c r="DJ158" s="280"/>
      <c r="DK158" s="280"/>
      <c r="DL158" s="280"/>
      <c r="DM158" s="280"/>
      <c r="DN158" s="280"/>
      <c r="DO158" s="280"/>
      <c r="DP158" s="280"/>
      <c r="DQ158" s="280"/>
      <c r="DR158" s="280"/>
      <c r="DS158" s="280"/>
      <c r="DT158" s="280"/>
      <c r="DU158" s="280"/>
      <c r="DV158" s="280"/>
      <c r="DW158" s="280"/>
      <c r="DX158" s="280"/>
      <c r="DY158" s="280"/>
      <c r="DZ158" s="280"/>
      <c r="EA158" s="280"/>
      <c r="EB158" s="280"/>
      <c r="EC158" s="280"/>
      <c r="ED158" s="280"/>
      <c r="EE158" s="280"/>
      <c r="EF158" s="280"/>
      <c r="EG158" s="280"/>
      <c r="EH158" s="280"/>
      <c r="EI158" s="280"/>
      <c r="EJ158" s="280"/>
      <c r="EK158" s="280"/>
      <c r="EL158" s="280"/>
      <c r="EM158" s="280"/>
      <c r="EN158" s="280"/>
      <c r="EO158" s="280"/>
      <c r="EP158" s="280"/>
      <c r="EQ158" s="280"/>
      <c r="ER158" s="280"/>
      <c r="ES158" s="280"/>
      <c r="ET158" s="280"/>
      <c r="EU158" s="280"/>
      <c r="EV158" s="280"/>
      <c r="EW158" s="280"/>
      <c r="EX158" s="280"/>
      <c r="EY158" s="280"/>
      <c r="EZ158" s="280"/>
      <c r="FA158" s="280"/>
      <c r="FB158" s="280"/>
      <c r="FC158" s="280"/>
      <c r="FD158" s="280"/>
      <c r="FE158" s="280"/>
      <c r="FF158" s="280"/>
      <c r="FG158" s="280"/>
      <c r="FH158" s="280"/>
      <c r="FI158" s="280"/>
      <c r="FJ158" s="280"/>
      <c r="FK158" s="280"/>
      <c r="FL158" s="280"/>
      <c r="FM158" s="280"/>
      <c r="FN158" s="280"/>
      <c r="FO158" s="280"/>
      <c r="FP158" s="280"/>
      <c r="FQ158" s="280"/>
      <c r="FR158" s="280"/>
      <c r="FS158" s="280"/>
      <c r="FT158" s="280"/>
      <c r="FU158" s="280"/>
      <c r="FV158" s="280"/>
      <c r="FW158" s="280"/>
      <c r="FX158" s="280"/>
      <c r="FY158" s="280"/>
      <c r="FZ158" s="280"/>
      <c r="GA158" s="280"/>
      <c r="GB158" s="280"/>
      <c r="GC158" s="280"/>
      <c r="GD158" s="280"/>
      <c r="GE158" s="280"/>
      <c r="GF158" s="280"/>
      <c r="GG158" s="280"/>
      <c r="GH158" s="280"/>
      <c r="GI158" s="280"/>
      <c r="GJ158" s="280"/>
      <c r="GK158" s="280"/>
      <c r="GL158" s="280"/>
      <c r="GM158" s="280"/>
      <c r="GN158" s="280"/>
      <c r="GO158" s="280"/>
      <c r="GP158" s="280"/>
      <c r="GQ158" s="280"/>
      <c r="GR158" s="280"/>
      <c r="GS158" s="280"/>
      <c r="GT158" s="280"/>
      <c r="GU158" s="280"/>
      <c r="GV158" s="280"/>
      <c r="GW158" s="280"/>
      <c r="GX158" s="280"/>
      <c r="GY158" s="280"/>
      <c r="GZ158" s="280"/>
      <c r="HA158" s="280"/>
      <c r="HB158" s="280"/>
      <c r="HC158" s="280"/>
      <c r="HD158" s="280"/>
      <c r="HE158" s="280"/>
      <c r="HF158" s="280"/>
      <c r="HG158" s="280"/>
      <c r="HH158" s="280"/>
      <c r="HI158" s="280"/>
      <c r="HJ158" s="280"/>
      <c r="HK158" s="280"/>
      <c r="HL158" s="280"/>
      <c r="HM158" s="280"/>
      <c r="HN158" s="280"/>
      <c r="HO158" s="280"/>
      <c r="HP158" s="280"/>
      <c r="HQ158" s="280"/>
      <c r="HR158" s="280"/>
      <c r="HS158" s="280"/>
      <c r="HT158" s="280"/>
      <c r="HU158" s="280"/>
      <c r="HV158" s="280"/>
      <c r="HW158" s="280"/>
      <c r="HX158" s="280"/>
      <c r="HY158" s="280"/>
      <c r="HZ158" s="280"/>
      <c r="IA158" s="280"/>
      <c r="IB158" s="280"/>
      <c r="IC158" s="280"/>
      <c r="ID158" s="280"/>
      <c r="IE158" s="280"/>
      <c r="IF158" s="280"/>
      <c r="IG158" s="280"/>
      <c r="IH158" s="280"/>
      <c r="II158" s="280"/>
      <c r="IJ158" s="280"/>
    </row>
    <row r="159" spans="1:244" s="281" customFormat="1" ht="15">
      <c r="A159" s="280"/>
      <c r="D159" s="331"/>
      <c r="E159" s="331"/>
      <c r="F159" s="331"/>
      <c r="G159" s="321"/>
      <c r="H159" s="280"/>
      <c r="I159" s="333"/>
      <c r="J159" s="320"/>
      <c r="K159" s="280"/>
      <c r="L159" s="280"/>
      <c r="M159" s="280"/>
      <c r="N159" s="280"/>
      <c r="O159" s="280"/>
      <c r="P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0"/>
      <c r="AZ159" s="280"/>
      <c r="BA159" s="280"/>
      <c r="BB159" s="280"/>
      <c r="BC159" s="280"/>
      <c r="BD159" s="280"/>
      <c r="BE159" s="280"/>
      <c r="BF159" s="280"/>
      <c r="BG159" s="280"/>
      <c r="BH159" s="280"/>
      <c r="BI159" s="280"/>
      <c r="BJ159" s="280"/>
      <c r="BK159" s="280"/>
      <c r="BL159" s="280"/>
      <c r="BM159" s="280"/>
      <c r="BN159" s="280"/>
      <c r="BO159" s="280"/>
      <c r="BP159" s="280"/>
      <c r="BQ159" s="280"/>
      <c r="BR159" s="280"/>
      <c r="BS159" s="280"/>
      <c r="BT159" s="280"/>
      <c r="BU159" s="280"/>
      <c r="BV159" s="280"/>
      <c r="BW159" s="280"/>
      <c r="BX159" s="280"/>
      <c r="BY159" s="280"/>
      <c r="BZ159" s="280"/>
      <c r="CA159" s="280"/>
      <c r="CB159" s="280"/>
      <c r="CC159" s="280"/>
      <c r="CD159" s="280"/>
      <c r="CE159" s="280"/>
      <c r="CF159" s="280"/>
      <c r="CG159" s="280"/>
      <c r="CH159" s="280"/>
      <c r="CI159" s="280"/>
      <c r="CJ159" s="280"/>
      <c r="CK159" s="280"/>
      <c r="CL159" s="280"/>
      <c r="CM159" s="280"/>
      <c r="CN159" s="280"/>
      <c r="CO159" s="280"/>
      <c r="CP159" s="280"/>
      <c r="CQ159" s="280"/>
      <c r="CR159" s="280"/>
      <c r="CS159" s="280"/>
      <c r="CT159" s="280"/>
      <c r="CU159" s="280"/>
      <c r="CV159" s="280"/>
      <c r="CW159" s="280"/>
      <c r="CX159" s="280"/>
      <c r="CY159" s="280"/>
      <c r="CZ159" s="280"/>
      <c r="DA159" s="280"/>
      <c r="DB159" s="280"/>
      <c r="DC159" s="280"/>
      <c r="DD159" s="280"/>
      <c r="DE159" s="280"/>
      <c r="DF159" s="280"/>
      <c r="DG159" s="280"/>
      <c r="DH159" s="280"/>
      <c r="DI159" s="280"/>
      <c r="DJ159" s="280"/>
      <c r="DK159" s="280"/>
      <c r="DL159" s="280"/>
      <c r="DM159" s="280"/>
      <c r="DN159" s="280"/>
      <c r="DO159" s="280"/>
      <c r="DP159" s="280"/>
      <c r="DQ159" s="280"/>
      <c r="DR159" s="280"/>
      <c r="DS159" s="280"/>
      <c r="DT159" s="280"/>
      <c r="DU159" s="280"/>
      <c r="DV159" s="457" t="s">
        <v>526</v>
      </c>
      <c r="DW159" s="457"/>
      <c r="DX159" s="457"/>
      <c r="DY159" s="280"/>
      <c r="DZ159" s="280"/>
      <c r="EA159" s="280"/>
      <c r="EB159" s="280"/>
      <c r="EC159" s="280"/>
      <c r="ED159" s="280"/>
      <c r="EE159" s="280"/>
      <c r="EF159" s="280"/>
      <c r="EG159" s="280"/>
      <c r="EH159" s="280"/>
      <c r="EI159" s="280"/>
      <c r="EJ159" s="280"/>
      <c r="EK159" s="280"/>
      <c r="EL159" s="280"/>
      <c r="EM159" s="280"/>
      <c r="EN159" s="280"/>
      <c r="EO159" s="280"/>
      <c r="EP159" s="280"/>
      <c r="EQ159" s="280"/>
      <c r="ER159" s="280"/>
      <c r="ES159" s="280"/>
      <c r="ET159" s="280"/>
      <c r="EU159" s="280"/>
      <c r="EV159" s="280"/>
      <c r="EW159" s="280"/>
      <c r="EX159" s="280"/>
      <c r="EY159" s="280"/>
      <c r="EZ159" s="280"/>
      <c r="FA159" s="280"/>
      <c r="FB159" s="280"/>
      <c r="FC159" s="280"/>
      <c r="FD159" s="280"/>
      <c r="FE159" s="280"/>
      <c r="FF159" s="280"/>
      <c r="FG159" s="280"/>
      <c r="FH159" s="280"/>
      <c r="FI159" s="280"/>
      <c r="FJ159" s="280"/>
      <c r="FK159" s="280"/>
      <c r="FL159" s="280"/>
      <c r="FM159" s="280"/>
      <c r="FN159" s="280"/>
      <c r="FO159" s="280"/>
      <c r="FP159" s="280"/>
      <c r="FQ159" s="280"/>
      <c r="FR159" s="280"/>
      <c r="FS159" s="280"/>
      <c r="FT159" s="280"/>
      <c r="FU159" s="280"/>
      <c r="FV159" s="280"/>
      <c r="FW159" s="280"/>
      <c r="FX159" s="280"/>
      <c r="FY159" s="280"/>
      <c r="FZ159" s="280"/>
      <c r="GA159" s="280"/>
      <c r="GB159" s="280"/>
      <c r="GC159" s="280"/>
      <c r="GD159" s="280"/>
      <c r="GE159" s="280"/>
      <c r="GF159" s="280"/>
      <c r="GG159" s="280"/>
      <c r="GH159" s="280"/>
      <c r="GI159" s="280"/>
      <c r="GJ159" s="280"/>
      <c r="GK159" s="280"/>
      <c r="GL159" s="280"/>
      <c r="GM159" s="280"/>
      <c r="GN159" s="280"/>
      <c r="GO159" s="280"/>
      <c r="GP159" s="280"/>
      <c r="GQ159" s="280"/>
      <c r="GR159" s="280"/>
      <c r="GS159" s="280"/>
      <c r="GT159" s="280"/>
      <c r="GU159" s="280"/>
      <c r="GV159" s="280"/>
      <c r="GW159" s="280"/>
      <c r="GX159" s="280"/>
      <c r="GY159" s="280"/>
      <c r="GZ159" s="280"/>
      <c r="HA159" s="280"/>
      <c r="HB159" s="280"/>
      <c r="HC159" s="280"/>
      <c r="HD159" s="280"/>
      <c r="HE159" s="280"/>
      <c r="HF159" s="280"/>
      <c r="HG159" s="280"/>
      <c r="HH159" s="280"/>
      <c r="HI159" s="280"/>
      <c r="HJ159" s="280"/>
      <c r="HK159" s="280"/>
      <c r="HL159" s="280"/>
      <c r="HM159" s="280"/>
      <c r="HN159" s="280"/>
      <c r="HO159" s="280"/>
      <c r="HP159" s="280"/>
      <c r="HQ159" s="280"/>
      <c r="HR159" s="280"/>
      <c r="HS159" s="280"/>
      <c r="HT159" s="280"/>
      <c r="HU159" s="280"/>
      <c r="HV159" s="280"/>
      <c r="HW159" s="280"/>
      <c r="HX159" s="280"/>
      <c r="HY159" s="280"/>
      <c r="HZ159" s="280"/>
      <c r="IA159" s="280"/>
      <c r="IB159" s="280"/>
      <c r="IC159" s="280"/>
      <c r="ID159" s="280"/>
      <c r="IE159" s="280"/>
      <c r="IF159" s="280"/>
      <c r="IG159" s="280"/>
      <c r="IH159" s="280"/>
      <c r="II159" s="280"/>
      <c r="IJ159" s="280"/>
    </row>
    <row r="160" spans="1:244" s="281" customFormat="1" ht="15">
      <c r="A160" s="280"/>
      <c r="D160" s="331"/>
      <c r="E160" s="331"/>
      <c r="F160" s="331"/>
      <c r="G160" s="321"/>
      <c r="H160" s="280"/>
      <c r="I160" s="320"/>
      <c r="J160" s="320"/>
      <c r="K160" s="280"/>
      <c r="L160" s="280"/>
      <c r="M160" s="280"/>
      <c r="N160" s="280"/>
      <c r="O160" s="280"/>
      <c r="P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0"/>
      <c r="BA160" s="280"/>
      <c r="BB160" s="280"/>
      <c r="BC160" s="280"/>
      <c r="BD160" s="280"/>
      <c r="BE160" s="280"/>
      <c r="BF160" s="280"/>
      <c r="BG160" s="280"/>
      <c r="BH160" s="280"/>
      <c r="BI160" s="280"/>
      <c r="BJ160" s="280"/>
      <c r="BK160" s="280"/>
      <c r="BL160" s="280"/>
      <c r="BM160" s="280"/>
      <c r="BN160" s="280"/>
      <c r="BO160" s="280"/>
      <c r="BP160" s="280"/>
      <c r="BQ160" s="280"/>
      <c r="BR160" s="280"/>
      <c r="BS160" s="280"/>
      <c r="BT160" s="280"/>
      <c r="BU160" s="280"/>
      <c r="BV160" s="280"/>
      <c r="BW160" s="280"/>
      <c r="BX160" s="280"/>
      <c r="BY160" s="280"/>
      <c r="BZ160" s="280"/>
      <c r="CA160" s="280"/>
      <c r="CB160" s="280"/>
      <c r="CC160" s="280"/>
      <c r="CD160" s="280"/>
      <c r="CE160" s="280"/>
      <c r="CF160" s="280"/>
      <c r="CG160" s="280"/>
      <c r="CH160" s="280"/>
      <c r="CI160" s="280"/>
      <c r="CJ160" s="280"/>
      <c r="CK160" s="280"/>
      <c r="CL160" s="280"/>
      <c r="CM160" s="280"/>
      <c r="CN160" s="280"/>
      <c r="CO160" s="280"/>
      <c r="CP160" s="280"/>
      <c r="CQ160" s="280"/>
      <c r="CR160" s="280"/>
      <c r="CS160" s="280"/>
      <c r="CT160" s="280"/>
      <c r="CU160" s="280"/>
      <c r="CV160" s="280"/>
      <c r="CW160" s="280"/>
      <c r="CX160" s="280"/>
      <c r="CY160" s="280"/>
      <c r="CZ160" s="280"/>
      <c r="DA160" s="280"/>
      <c r="DB160" s="280"/>
      <c r="DC160" s="280"/>
      <c r="DD160" s="280"/>
      <c r="DE160" s="280"/>
      <c r="DF160" s="280"/>
      <c r="DG160" s="280"/>
      <c r="DH160" s="280"/>
      <c r="DI160" s="280"/>
      <c r="DJ160" s="280"/>
      <c r="DK160" s="280"/>
      <c r="DL160" s="280"/>
      <c r="DM160" s="280"/>
      <c r="DN160" s="280"/>
      <c r="DO160" s="280"/>
      <c r="DP160" s="280"/>
      <c r="DQ160" s="280"/>
      <c r="DR160" s="280"/>
      <c r="DY160" s="280"/>
      <c r="DZ160" s="280"/>
      <c r="EA160" s="280"/>
      <c r="EB160" s="280"/>
      <c r="EC160" s="280"/>
      <c r="ED160" s="280"/>
      <c r="EE160" s="280"/>
      <c r="EF160" s="280"/>
      <c r="EG160" s="280"/>
      <c r="EH160" s="280"/>
      <c r="EI160" s="280"/>
      <c r="EJ160" s="280"/>
      <c r="EK160" s="280"/>
      <c r="EL160" s="280"/>
      <c r="EM160" s="280"/>
      <c r="EN160" s="280"/>
      <c r="EO160" s="280"/>
      <c r="EP160" s="280"/>
      <c r="EQ160" s="280"/>
      <c r="ER160" s="280"/>
      <c r="ES160" s="280"/>
      <c r="ET160" s="280"/>
      <c r="EU160" s="280"/>
      <c r="EV160" s="280"/>
      <c r="EW160" s="280"/>
      <c r="EX160" s="280"/>
      <c r="EY160" s="280"/>
      <c r="EZ160" s="280"/>
      <c r="FA160" s="280"/>
      <c r="FB160" s="280"/>
      <c r="FC160" s="280"/>
      <c r="FD160" s="280"/>
      <c r="FE160" s="280"/>
      <c r="FF160" s="280"/>
      <c r="FG160" s="280"/>
      <c r="FH160" s="280"/>
      <c r="FI160" s="280"/>
      <c r="FJ160" s="280"/>
      <c r="FK160" s="280"/>
      <c r="FL160" s="280"/>
      <c r="FM160" s="280"/>
      <c r="FN160" s="280"/>
      <c r="FO160" s="280"/>
      <c r="FP160" s="280"/>
      <c r="FQ160" s="280"/>
      <c r="FR160" s="280"/>
      <c r="FS160" s="280"/>
      <c r="FT160" s="280"/>
      <c r="FU160" s="280"/>
      <c r="FV160" s="280"/>
      <c r="FW160" s="280"/>
      <c r="FX160" s="280"/>
      <c r="FY160" s="280"/>
      <c r="FZ160" s="280"/>
      <c r="GA160" s="280"/>
      <c r="GB160" s="280"/>
      <c r="GC160" s="280"/>
      <c r="GD160" s="280"/>
      <c r="GE160" s="280"/>
      <c r="GF160" s="280"/>
      <c r="GG160" s="280"/>
      <c r="GH160" s="280"/>
      <c r="GI160" s="280"/>
      <c r="GJ160" s="280"/>
      <c r="GK160" s="280"/>
      <c r="GL160" s="280"/>
      <c r="GM160" s="280"/>
      <c r="GN160" s="280"/>
      <c r="GO160" s="280"/>
      <c r="GP160" s="280"/>
      <c r="GQ160" s="280"/>
      <c r="GR160" s="280"/>
      <c r="GS160" s="280"/>
      <c r="GT160" s="280"/>
      <c r="GU160" s="280"/>
      <c r="GV160" s="280"/>
      <c r="GW160" s="280"/>
      <c r="GX160" s="280"/>
      <c r="GY160" s="280"/>
      <c r="GZ160" s="280"/>
      <c r="HA160" s="280"/>
      <c r="HB160" s="280"/>
      <c r="HC160" s="280"/>
      <c r="HD160" s="280"/>
      <c r="HE160" s="280"/>
      <c r="HF160" s="280"/>
      <c r="HG160" s="280"/>
      <c r="HH160" s="280"/>
      <c r="HI160" s="280"/>
      <c r="HJ160" s="280"/>
      <c r="HK160" s="280"/>
      <c r="HL160" s="280"/>
      <c r="HM160" s="280"/>
      <c r="HN160" s="280"/>
      <c r="HO160" s="280"/>
      <c r="HP160" s="280"/>
      <c r="HQ160" s="280"/>
      <c r="HR160" s="280"/>
      <c r="HS160" s="280"/>
      <c r="HT160" s="280"/>
      <c r="HU160" s="280"/>
      <c r="HV160" s="280"/>
      <c r="HW160" s="280"/>
      <c r="HX160" s="280"/>
      <c r="HY160" s="280"/>
      <c r="HZ160" s="280"/>
      <c r="IA160" s="280"/>
      <c r="IB160" s="280"/>
      <c r="IC160" s="280"/>
      <c r="ID160" s="280"/>
      <c r="IE160" s="280"/>
      <c r="IF160" s="280"/>
      <c r="IG160" s="280"/>
      <c r="IH160" s="280"/>
      <c r="II160" s="280"/>
      <c r="IJ160" s="280"/>
    </row>
    <row r="161" spans="1:244" s="281" customFormat="1" ht="15">
      <c r="A161" s="280"/>
      <c r="D161" s="331"/>
      <c r="E161" s="331"/>
      <c r="F161" s="331"/>
      <c r="G161" s="321"/>
      <c r="H161" s="280"/>
      <c r="I161" s="280"/>
      <c r="J161" s="280"/>
      <c r="K161" s="280"/>
      <c r="L161" s="280"/>
      <c r="M161" s="280"/>
      <c r="N161" s="280"/>
      <c r="O161" s="280"/>
      <c r="P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  <c r="BA161" s="280"/>
      <c r="BB161" s="280"/>
      <c r="BC161" s="280"/>
      <c r="BD161" s="280"/>
      <c r="BE161" s="280"/>
      <c r="BF161" s="280"/>
      <c r="BG161" s="280"/>
      <c r="BH161" s="280"/>
      <c r="BI161" s="280"/>
      <c r="BJ161" s="280"/>
      <c r="BK161" s="280"/>
      <c r="BL161" s="280"/>
      <c r="BM161" s="280"/>
      <c r="BN161" s="280"/>
      <c r="BO161" s="280"/>
      <c r="BP161" s="280"/>
      <c r="BQ161" s="280"/>
      <c r="BR161" s="280"/>
      <c r="BS161" s="280"/>
      <c r="BT161" s="280"/>
      <c r="BU161" s="280"/>
      <c r="BV161" s="280"/>
      <c r="BW161" s="280"/>
      <c r="BX161" s="280"/>
      <c r="BY161" s="280"/>
      <c r="BZ161" s="280"/>
      <c r="CA161" s="280"/>
      <c r="CB161" s="280"/>
      <c r="CC161" s="280"/>
      <c r="CD161" s="280"/>
      <c r="CE161" s="280"/>
      <c r="CF161" s="280"/>
      <c r="CG161" s="280"/>
      <c r="CH161" s="280"/>
      <c r="CI161" s="280"/>
      <c r="CJ161" s="280"/>
      <c r="CK161" s="280"/>
      <c r="CL161" s="280"/>
      <c r="CM161" s="280"/>
      <c r="CN161" s="280"/>
      <c r="CO161" s="280"/>
      <c r="CP161" s="280"/>
      <c r="CQ161" s="280"/>
      <c r="CR161" s="280"/>
      <c r="CS161" s="280"/>
      <c r="CT161" s="280"/>
      <c r="CU161" s="280"/>
      <c r="CV161" s="280"/>
      <c r="CW161" s="280"/>
      <c r="CX161" s="280"/>
      <c r="CY161" s="280"/>
      <c r="CZ161" s="280"/>
      <c r="DA161" s="280"/>
      <c r="DB161" s="280"/>
      <c r="DC161" s="280"/>
      <c r="DD161" s="280"/>
      <c r="DE161" s="280"/>
      <c r="DF161" s="280"/>
      <c r="DG161" s="280"/>
      <c r="DH161" s="280"/>
      <c r="DI161" s="280"/>
      <c r="DJ161" s="280"/>
      <c r="DK161" s="280"/>
      <c r="DL161" s="280"/>
      <c r="DM161" s="280"/>
      <c r="DN161" s="280"/>
      <c r="DO161" s="280"/>
      <c r="DP161" s="280"/>
      <c r="DQ161" s="280"/>
      <c r="DR161" s="280"/>
      <c r="DY161" s="280"/>
      <c r="DZ161" s="280"/>
      <c r="EA161" s="280"/>
      <c r="EB161" s="280"/>
      <c r="EC161" s="280"/>
      <c r="ED161" s="280"/>
      <c r="EE161" s="280"/>
      <c r="EF161" s="280"/>
      <c r="EG161" s="280"/>
      <c r="EH161" s="280"/>
      <c r="EI161" s="280"/>
      <c r="EJ161" s="280"/>
      <c r="EK161" s="280"/>
      <c r="EL161" s="280"/>
      <c r="EM161" s="280"/>
      <c r="EN161" s="280"/>
      <c r="EO161" s="280"/>
      <c r="EP161" s="280"/>
      <c r="EQ161" s="280"/>
      <c r="ER161" s="280"/>
      <c r="ES161" s="280"/>
      <c r="ET161" s="280"/>
      <c r="EU161" s="280"/>
      <c r="EV161" s="280"/>
      <c r="EW161" s="280"/>
      <c r="EX161" s="280"/>
      <c r="EY161" s="280"/>
      <c r="EZ161" s="280"/>
      <c r="FA161" s="280"/>
      <c r="FB161" s="280"/>
      <c r="FC161" s="280"/>
      <c r="FD161" s="280"/>
      <c r="FE161" s="280"/>
      <c r="FF161" s="280"/>
      <c r="FG161" s="280"/>
      <c r="FH161" s="280"/>
      <c r="FI161" s="280"/>
      <c r="FJ161" s="280"/>
      <c r="FK161" s="280"/>
      <c r="FL161" s="280"/>
      <c r="FM161" s="280"/>
      <c r="FN161" s="280"/>
      <c r="FO161" s="280"/>
      <c r="FP161" s="280"/>
      <c r="FQ161" s="280"/>
      <c r="FR161" s="280"/>
      <c r="FS161" s="280"/>
      <c r="FT161" s="280"/>
      <c r="FU161" s="280"/>
      <c r="FV161" s="280"/>
      <c r="FW161" s="280"/>
      <c r="FX161" s="280"/>
      <c r="FY161" s="280"/>
      <c r="FZ161" s="280"/>
      <c r="GA161" s="280"/>
      <c r="GB161" s="280"/>
      <c r="GC161" s="280"/>
      <c r="GD161" s="280"/>
      <c r="GE161" s="280"/>
      <c r="GF161" s="280"/>
      <c r="GG161" s="280"/>
      <c r="GH161" s="280"/>
      <c r="GI161" s="280"/>
      <c r="GJ161" s="280"/>
      <c r="GK161" s="280"/>
      <c r="GL161" s="280"/>
      <c r="GM161" s="280"/>
      <c r="GN161" s="280"/>
      <c r="GO161" s="280"/>
      <c r="GP161" s="280"/>
      <c r="GQ161" s="280"/>
      <c r="GR161" s="280"/>
      <c r="GS161" s="280"/>
      <c r="GT161" s="280"/>
      <c r="GU161" s="280"/>
      <c r="GV161" s="280"/>
      <c r="GW161" s="280"/>
      <c r="GX161" s="280"/>
      <c r="GY161" s="280"/>
      <c r="GZ161" s="280"/>
      <c r="HA161" s="280"/>
      <c r="HB161" s="280"/>
      <c r="HC161" s="280"/>
      <c r="HD161" s="280"/>
      <c r="HE161" s="280"/>
      <c r="HF161" s="280"/>
      <c r="HG161" s="280"/>
      <c r="HH161" s="280"/>
      <c r="HI161" s="280"/>
      <c r="HJ161" s="280"/>
      <c r="HK161" s="280"/>
      <c r="HL161" s="280"/>
      <c r="HM161" s="280"/>
      <c r="HN161" s="280"/>
      <c r="HO161" s="280"/>
      <c r="HP161" s="280"/>
      <c r="HQ161" s="280"/>
      <c r="HR161" s="280"/>
      <c r="HS161" s="280"/>
      <c r="HT161" s="280"/>
      <c r="HU161" s="280"/>
      <c r="HV161" s="280"/>
      <c r="HW161" s="280"/>
      <c r="HX161" s="280"/>
      <c r="HY161" s="280"/>
      <c r="HZ161" s="280"/>
      <c r="IA161" s="280"/>
      <c r="IB161" s="280"/>
      <c r="IC161" s="280"/>
      <c r="ID161" s="280"/>
      <c r="IE161" s="280"/>
      <c r="IF161" s="280"/>
      <c r="IG161" s="280"/>
      <c r="IH161" s="280"/>
      <c r="II161" s="280"/>
      <c r="IJ161" s="280"/>
    </row>
    <row r="162" spans="1:244" s="281" customFormat="1" ht="15">
      <c r="A162" s="280"/>
      <c r="D162" s="331"/>
      <c r="E162" s="331"/>
      <c r="F162" s="331"/>
      <c r="G162" s="321"/>
      <c r="H162" s="280"/>
      <c r="I162" s="280"/>
      <c r="J162" s="280"/>
      <c r="K162" s="280"/>
      <c r="L162" s="280"/>
      <c r="M162" s="280"/>
      <c r="N162" s="280"/>
      <c r="O162" s="280"/>
      <c r="P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80"/>
      <c r="BC162" s="280"/>
      <c r="BD162" s="280"/>
      <c r="BE162" s="280"/>
      <c r="BF162" s="280"/>
      <c r="BG162" s="280"/>
      <c r="BH162" s="280"/>
      <c r="BI162" s="280"/>
      <c r="BJ162" s="280"/>
      <c r="BK162" s="280"/>
      <c r="BL162" s="280"/>
      <c r="BM162" s="280"/>
      <c r="BN162" s="280"/>
      <c r="BO162" s="280"/>
      <c r="BP162" s="280"/>
      <c r="BQ162" s="280"/>
      <c r="BR162" s="280"/>
      <c r="BS162" s="280"/>
      <c r="BT162" s="280"/>
      <c r="BU162" s="280"/>
      <c r="BV162" s="280"/>
      <c r="BW162" s="280"/>
      <c r="BX162" s="280"/>
      <c r="BY162" s="280"/>
      <c r="BZ162" s="280"/>
      <c r="CA162" s="280"/>
      <c r="CB162" s="280"/>
      <c r="CC162" s="280"/>
      <c r="CD162" s="280"/>
      <c r="CE162" s="280"/>
      <c r="CF162" s="280"/>
      <c r="CG162" s="280"/>
      <c r="CH162" s="280"/>
      <c r="CI162" s="280"/>
      <c r="CJ162" s="280"/>
      <c r="CK162" s="280"/>
      <c r="CL162" s="280"/>
      <c r="CM162" s="280"/>
      <c r="CN162" s="280"/>
      <c r="CO162" s="280"/>
      <c r="CP162" s="280"/>
      <c r="CQ162" s="280"/>
      <c r="CR162" s="280"/>
      <c r="CS162" s="280"/>
      <c r="CT162" s="280"/>
      <c r="CU162" s="280"/>
      <c r="CV162" s="280"/>
      <c r="CW162" s="280"/>
      <c r="CX162" s="280"/>
      <c r="CY162" s="280"/>
      <c r="CZ162" s="280"/>
      <c r="DA162" s="280"/>
      <c r="DB162" s="280"/>
      <c r="DC162" s="280"/>
      <c r="DD162" s="280"/>
      <c r="DE162" s="280"/>
      <c r="DF162" s="280"/>
      <c r="DG162" s="280"/>
      <c r="DH162" s="280"/>
      <c r="DI162" s="280"/>
      <c r="DJ162" s="280"/>
      <c r="DK162" s="280"/>
      <c r="DL162" s="280"/>
      <c r="DM162" s="280"/>
      <c r="DN162" s="280"/>
      <c r="DO162" s="280"/>
      <c r="DP162" s="280"/>
      <c r="DQ162" s="280"/>
      <c r="DR162" s="280"/>
      <c r="DY162" s="280"/>
      <c r="DZ162" s="280"/>
      <c r="EA162" s="280"/>
      <c r="EB162" s="280"/>
      <c r="EC162" s="280"/>
      <c r="ED162" s="280"/>
      <c r="EE162" s="280"/>
      <c r="EF162" s="280"/>
      <c r="EG162" s="280"/>
      <c r="EH162" s="280"/>
      <c r="EI162" s="280"/>
      <c r="EJ162" s="280"/>
      <c r="EK162" s="280"/>
      <c r="EL162" s="280"/>
      <c r="EM162" s="280"/>
      <c r="EN162" s="280"/>
      <c r="EO162" s="280"/>
      <c r="EP162" s="280"/>
      <c r="EQ162" s="280"/>
      <c r="ER162" s="280"/>
      <c r="ES162" s="280"/>
      <c r="ET162" s="280"/>
      <c r="EU162" s="280"/>
      <c r="EV162" s="280"/>
      <c r="EW162" s="280"/>
      <c r="EX162" s="280"/>
      <c r="EY162" s="280"/>
      <c r="EZ162" s="280"/>
      <c r="FA162" s="280"/>
      <c r="FB162" s="280"/>
      <c r="FC162" s="280"/>
      <c r="FD162" s="280"/>
      <c r="FE162" s="280"/>
      <c r="FF162" s="280"/>
      <c r="FG162" s="280"/>
      <c r="FH162" s="280"/>
      <c r="FI162" s="280"/>
      <c r="FJ162" s="280"/>
      <c r="FK162" s="280"/>
      <c r="FL162" s="280"/>
      <c r="FM162" s="280"/>
      <c r="FN162" s="280"/>
      <c r="FO162" s="280"/>
      <c r="FP162" s="280"/>
      <c r="FQ162" s="280"/>
      <c r="FR162" s="280"/>
      <c r="FS162" s="280"/>
      <c r="FT162" s="280"/>
      <c r="FU162" s="280"/>
      <c r="FV162" s="280"/>
      <c r="FW162" s="280"/>
      <c r="FX162" s="280"/>
      <c r="FY162" s="280"/>
      <c r="FZ162" s="280"/>
      <c r="GA162" s="280"/>
      <c r="GB162" s="280"/>
      <c r="GC162" s="280"/>
      <c r="GD162" s="280"/>
      <c r="GE162" s="280"/>
      <c r="GF162" s="280"/>
      <c r="GG162" s="280"/>
      <c r="GH162" s="280"/>
      <c r="GI162" s="280"/>
      <c r="GJ162" s="280"/>
      <c r="GK162" s="280"/>
      <c r="GL162" s="280"/>
      <c r="GM162" s="280"/>
      <c r="GN162" s="280"/>
      <c r="GO162" s="280"/>
      <c r="GP162" s="280"/>
      <c r="GQ162" s="280"/>
      <c r="GR162" s="280"/>
      <c r="GS162" s="280"/>
      <c r="GT162" s="280"/>
      <c r="GU162" s="280"/>
      <c r="GV162" s="280"/>
      <c r="GW162" s="280"/>
      <c r="GX162" s="280"/>
      <c r="GY162" s="280"/>
      <c r="GZ162" s="280"/>
      <c r="HA162" s="280"/>
      <c r="HB162" s="280"/>
      <c r="HC162" s="280"/>
      <c r="HD162" s="280"/>
      <c r="HE162" s="280"/>
      <c r="HF162" s="280"/>
      <c r="HG162" s="280"/>
      <c r="HH162" s="280"/>
      <c r="HI162" s="280"/>
      <c r="HJ162" s="280"/>
      <c r="HK162" s="280"/>
      <c r="HL162" s="280"/>
      <c r="HM162" s="280"/>
      <c r="HN162" s="280"/>
      <c r="HO162" s="280"/>
      <c r="HP162" s="280"/>
      <c r="HQ162" s="280"/>
      <c r="HR162" s="280"/>
      <c r="HS162" s="280"/>
      <c r="HT162" s="280"/>
      <c r="HU162" s="280"/>
      <c r="HV162" s="280"/>
      <c r="HW162" s="280"/>
      <c r="HX162" s="280"/>
      <c r="HY162" s="280"/>
      <c r="HZ162" s="280"/>
      <c r="IA162" s="280"/>
      <c r="IB162" s="280"/>
      <c r="IC162" s="280"/>
      <c r="ID162" s="280"/>
      <c r="IE162" s="280"/>
      <c r="IF162" s="280"/>
      <c r="IG162" s="280"/>
      <c r="IH162" s="280"/>
      <c r="II162" s="280"/>
      <c r="IJ162" s="280"/>
    </row>
    <row r="163" spans="1:244" s="281" customFormat="1" ht="15">
      <c r="A163" s="280"/>
      <c r="D163" s="331"/>
      <c r="E163" s="331"/>
      <c r="F163" s="331"/>
      <c r="G163" s="321"/>
      <c r="H163" s="280"/>
      <c r="I163" s="280"/>
      <c r="J163" s="280"/>
      <c r="K163" s="280"/>
      <c r="L163" s="280"/>
      <c r="M163" s="280"/>
      <c r="N163" s="280"/>
      <c r="O163" s="280"/>
      <c r="P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  <c r="BC163" s="280"/>
      <c r="BD163" s="280"/>
      <c r="BE163" s="280"/>
      <c r="BF163" s="280"/>
      <c r="BG163" s="280"/>
      <c r="BH163" s="280"/>
      <c r="BI163" s="280"/>
      <c r="BJ163" s="280"/>
      <c r="BK163" s="280"/>
      <c r="BL163" s="280"/>
      <c r="BM163" s="280"/>
      <c r="BN163" s="280"/>
      <c r="BO163" s="280"/>
      <c r="BP163" s="280"/>
      <c r="BQ163" s="280"/>
      <c r="BR163" s="280"/>
      <c r="BS163" s="280"/>
      <c r="BT163" s="280"/>
      <c r="BU163" s="280"/>
      <c r="BV163" s="280"/>
      <c r="BW163" s="280"/>
      <c r="BX163" s="280"/>
      <c r="BY163" s="280"/>
      <c r="BZ163" s="280"/>
      <c r="CA163" s="280"/>
      <c r="CB163" s="280"/>
      <c r="CC163" s="280"/>
      <c r="CD163" s="280"/>
      <c r="CE163" s="280"/>
      <c r="CF163" s="280"/>
      <c r="CG163" s="280"/>
      <c r="CH163" s="280"/>
      <c r="CI163" s="280"/>
      <c r="CJ163" s="280"/>
      <c r="CK163" s="280"/>
      <c r="CL163" s="280"/>
      <c r="CM163" s="280"/>
      <c r="CN163" s="280"/>
      <c r="CO163" s="280"/>
      <c r="CP163" s="280"/>
      <c r="CQ163" s="280"/>
      <c r="CR163" s="280"/>
      <c r="CS163" s="280"/>
      <c r="CT163" s="280"/>
      <c r="CU163" s="280"/>
      <c r="CV163" s="280"/>
      <c r="CW163" s="280"/>
      <c r="CX163" s="280"/>
      <c r="CY163" s="280"/>
      <c r="CZ163" s="280"/>
      <c r="DA163" s="280"/>
      <c r="DB163" s="280"/>
      <c r="DC163" s="280"/>
      <c r="DD163" s="280"/>
      <c r="DE163" s="280"/>
      <c r="DF163" s="280"/>
      <c r="DG163" s="280"/>
      <c r="DH163" s="280"/>
      <c r="DI163" s="280"/>
      <c r="DJ163" s="280"/>
      <c r="DK163" s="280"/>
      <c r="DL163" s="280"/>
      <c r="DM163" s="280"/>
      <c r="DN163" s="280"/>
      <c r="DO163" s="280"/>
      <c r="DP163" s="280"/>
      <c r="DQ163" s="280"/>
      <c r="DR163" s="280"/>
      <c r="DY163" s="280"/>
      <c r="DZ163" s="280"/>
      <c r="EA163" s="280"/>
      <c r="EB163" s="280"/>
      <c r="EC163" s="280"/>
      <c r="ED163" s="280"/>
      <c r="EE163" s="280"/>
      <c r="EF163" s="280"/>
      <c r="EG163" s="280"/>
      <c r="EH163" s="280"/>
      <c r="EI163" s="280"/>
      <c r="EJ163" s="280"/>
      <c r="EK163" s="280"/>
      <c r="EL163" s="280"/>
      <c r="EM163" s="280"/>
      <c r="EN163" s="280"/>
      <c r="EO163" s="280"/>
      <c r="EP163" s="280"/>
      <c r="EQ163" s="280"/>
      <c r="ER163" s="280"/>
      <c r="ES163" s="280"/>
      <c r="ET163" s="280"/>
      <c r="EU163" s="280"/>
      <c r="EV163" s="280"/>
      <c r="EW163" s="280"/>
      <c r="EX163" s="280"/>
      <c r="EY163" s="280"/>
      <c r="EZ163" s="280"/>
      <c r="FA163" s="280"/>
      <c r="FB163" s="280"/>
      <c r="FC163" s="280"/>
      <c r="FD163" s="280"/>
      <c r="FE163" s="280"/>
      <c r="FF163" s="280"/>
      <c r="FG163" s="280"/>
      <c r="FH163" s="280"/>
      <c r="FI163" s="280"/>
      <c r="FJ163" s="280"/>
      <c r="FK163" s="280"/>
      <c r="FL163" s="280"/>
      <c r="FM163" s="280"/>
      <c r="FN163" s="280"/>
      <c r="FO163" s="280"/>
      <c r="FP163" s="280"/>
      <c r="FQ163" s="280"/>
      <c r="FR163" s="280"/>
      <c r="FS163" s="280"/>
      <c r="FT163" s="280"/>
      <c r="FU163" s="280"/>
      <c r="FV163" s="280"/>
      <c r="FW163" s="280"/>
      <c r="FX163" s="280"/>
      <c r="FY163" s="280"/>
      <c r="FZ163" s="280"/>
      <c r="GA163" s="280"/>
      <c r="GB163" s="280"/>
      <c r="GC163" s="280"/>
      <c r="GD163" s="280"/>
      <c r="GE163" s="280"/>
      <c r="GF163" s="280"/>
      <c r="GG163" s="280"/>
      <c r="GH163" s="280"/>
      <c r="GI163" s="280"/>
      <c r="GJ163" s="280"/>
      <c r="GK163" s="280"/>
      <c r="GL163" s="280"/>
      <c r="GM163" s="280"/>
      <c r="GN163" s="280"/>
      <c r="GO163" s="280"/>
      <c r="GP163" s="280"/>
      <c r="GQ163" s="280"/>
      <c r="GR163" s="280"/>
      <c r="GS163" s="280"/>
      <c r="GT163" s="280"/>
      <c r="GU163" s="280"/>
      <c r="GV163" s="280"/>
      <c r="GW163" s="280"/>
      <c r="GX163" s="280"/>
      <c r="GY163" s="280"/>
      <c r="GZ163" s="280"/>
      <c r="HA163" s="280"/>
      <c r="HB163" s="280"/>
      <c r="HC163" s="280"/>
      <c r="HD163" s="280"/>
      <c r="HE163" s="280"/>
      <c r="HF163" s="280"/>
      <c r="HG163" s="280"/>
      <c r="HH163" s="280"/>
      <c r="HI163" s="280"/>
      <c r="HJ163" s="280"/>
      <c r="HK163" s="280"/>
      <c r="HL163" s="280"/>
      <c r="HM163" s="280"/>
      <c r="HN163" s="280"/>
      <c r="HO163" s="280"/>
      <c r="HP163" s="280"/>
      <c r="HQ163" s="280"/>
      <c r="HR163" s="280"/>
      <c r="HS163" s="280"/>
      <c r="HT163" s="280"/>
      <c r="HU163" s="280"/>
      <c r="HV163" s="280"/>
      <c r="HW163" s="280"/>
      <c r="HX163" s="280"/>
      <c r="HY163" s="280"/>
      <c r="HZ163" s="280"/>
      <c r="IA163" s="280"/>
      <c r="IB163" s="280"/>
      <c r="IC163" s="280"/>
      <c r="ID163" s="280"/>
      <c r="IE163" s="280"/>
      <c r="IF163" s="280"/>
      <c r="IG163" s="280"/>
      <c r="IH163" s="280"/>
      <c r="II163" s="280"/>
      <c r="IJ163" s="280"/>
    </row>
    <row r="164" spans="1:244" s="281" customFormat="1" ht="15">
      <c r="A164" s="280"/>
      <c r="D164" s="331"/>
      <c r="E164" s="331"/>
      <c r="F164" s="331"/>
      <c r="G164" s="321"/>
      <c r="H164" s="280"/>
      <c r="I164" s="280"/>
      <c r="J164" s="280"/>
      <c r="K164" s="280"/>
      <c r="L164" s="280"/>
      <c r="M164" s="280"/>
      <c r="N164" s="280"/>
      <c r="O164" s="280"/>
      <c r="P164" s="280"/>
      <c r="AC164" s="280"/>
      <c r="AD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0"/>
      <c r="AZ164" s="280"/>
      <c r="BA164" s="280"/>
      <c r="BB164" s="280"/>
      <c r="BC164" s="280"/>
      <c r="BD164" s="280"/>
      <c r="BE164" s="280"/>
      <c r="BF164" s="280"/>
      <c r="BG164" s="280"/>
      <c r="BH164" s="280"/>
      <c r="BI164" s="280"/>
      <c r="BJ164" s="280"/>
      <c r="BK164" s="280"/>
      <c r="BL164" s="280"/>
      <c r="BM164" s="280"/>
      <c r="BN164" s="280"/>
      <c r="BO164" s="280"/>
      <c r="BP164" s="280"/>
      <c r="BQ164" s="280"/>
      <c r="BR164" s="280"/>
      <c r="BS164" s="280"/>
      <c r="BT164" s="280"/>
      <c r="BU164" s="280"/>
      <c r="BV164" s="280"/>
      <c r="BW164" s="280"/>
      <c r="BX164" s="280"/>
      <c r="BY164" s="280"/>
      <c r="BZ164" s="280"/>
      <c r="CA164" s="280"/>
      <c r="CB164" s="280"/>
      <c r="CC164" s="280"/>
      <c r="CD164" s="280"/>
      <c r="CE164" s="280"/>
      <c r="CF164" s="280"/>
      <c r="CG164" s="280"/>
      <c r="CH164" s="280"/>
      <c r="CI164" s="280"/>
      <c r="CJ164" s="280"/>
      <c r="CK164" s="280"/>
      <c r="CL164" s="280"/>
      <c r="CM164" s="280"/>
      <c r="CN164" s="280"/>
      <c r="CO164" s="280"/>
      <c r="CP164" s="280"/>
      <c r="CQ164" s="280"/>
      <c r="CR164" s="280"/>
      <c r="CS164" s="280"/>
      <c r="CT164" s="280"/>
      <c r="CU164" s="280"/>
      <c r="CV164" s="280"/>
      <c r="CW164" s="280"/>
      <c r="CX164" s="280"/>
      <c r="CY164" s="280"/>
      <c r="CZ164" s="280"/>
      <c r="DA164" s="280"/>
      <c r="DB164" s="280"/>
      <c r="DC164" s="280"/>
      <c r="DD164" s="280"/>
      <c r="DE164" s="280"/>
      <c r="DF164" s="280"/>
      <c r="DG164" s="280"/>
      <c r="DH164" s="280"/>
      <c r="DI164" s="280"/>
      <c r="DJ164" s="280"/>
      <c r="DK164" s="280"/>
      <c r="DL164" s="280"/>
      <c r="DM164" s="280"/>
      <c r="DN164" s="280"/>
      <c r="DO164" s="280"/>
      <c r="DP164" s="280"/>
      <c r="DQ164" s="280"/>
      <c r="DR164" s="280"/>
      <c r="DY164" s="280"/>
      <c r="DZ164" s="280"/>
      <c r="EA164" s="280"/>
      <c r="EB164" s="280"/>
      <c r="EC164" s="280"/>
      <c r="ED164" s="280"/>
      <c r="EE164" s="280"/>
      <c r="EF164" s="280"/>
      <c r="EG164" s="280"/>
      <c r="EH164" s="280"/>
      <c r="EI164" s="280"/>
      <c r="EJ164" s="280"/>
      <c r="EK164" s="280"/>
      <c r="EL164" s="280"/>
      <c r="EM164" s="280"/>
      <c r="EN164" s="280"/>
      <c r="EO164" s="280"/>
      <c r="EP164" s="280"/>
      <c r="EQ164" s="280"/>
      <c r="ER164" s="280"/>
      <c r="ES164" s="280"/>
      <c r="ET164" s="280"/>
      <c r="EU164" s="280"/>
      <c r="EV164" s="280"/>
      <c r="EW164" s="280"/>
      <c r="EX164" s="280"/>
      <c r="EY164" s="280"/>
      <c r="EZ164" s="280"/>
      <c r="FA164" s="280"/>
      <c r="FB164" s="280"/>
      <c r="FC164" s="280"/>
      <c r="FD164" s="280"/>
      <c r="FE164" s="280"/>
      <c r="FF164" s="280"/>
      <c r="FG164" s="280"/>
      <c r="FH164" s="280"/>
      <c r="FI164" s="280"/>
      <c r="FJ164" s="280"/>
      <c r="FK164" s="280"/>
      <c r="FL164" s="280"/>
      <c r="FM164" s="280"/>
      <c r="FN164" s="280"/>
      <c r="FO164" s="280"/>
      <c r="FP164" s="280"/>
      <c r="FQ164" s="280"/>
      <c r="FR164" s="280"/>
      <c r="FS164" s="280"/>
      <c r="FT164" s="280"/>
      <c r="FU164" s="280"/>
      <c r="FV164" s="280"/>
      <c r="FW164" s="280"/>
      <c r="FX164" s="280"/>
      <c r="FY164" s="280"/>
      <c r="FZ164" s="280"/>
      <c r="GA164" s="280"/>
      <c r="GB164" s="280"/>
      <c r="GC164" s="280"/>
      <c r="GD164" s="280"/>
      <c r="GE164" s="280"/>
      <c r="GF164" s="280"/>
      <c r="GG164" s="280"/>
      <c r="GH164" s="280"/>
      <c r="GI164" s="280"/>
      <c r="GJ164" s="280"/>
      <c r="GK164" s="280"/>
      <c r="GL164" s="280"/>
      <c r="GM164" s="280"/>
      <c r="GN164" s="280"/>
      <c r="GO164" s="280"/>
      <c r="GP164" s="280"/>
      <c r="GQ164" s="280"/>
      <c r="GR164" s="280"/>
      <c r="GS164" s="280"/>
      <c r="GT164" s="280"/>
      <c r="GU164" s="280"/>
      <c r="GV164" s="280"/>
      <c r="GW164" s="280"/>
      <c r="GX164" s="280"/>
      <c r="GY164" s="280"/>
      <c r="GZ164" s="280"/>
      <c r="HA164" s="280"/>
      <c r="HB164" s="280"/>
      <c r="HC164" s="280"/>
      <c r="HD164" s="280"/>
      <c r="HE164" s="280"/>
      <c r="HF164" s="280"/>
      <c r="HG164" s="280"/>
      <c r="HH164" s="280"/>
      <c r="HI164" s="280"/>
      <c r="HJ164" s="280"/>
      <c r="HK164" s="280"/>
      <c r="HL164" s="280"/>
      <c r="HM164" s="280"/>
      <c r="HN164" s="280"/>
      <c r="HO164" s="280"/>
      <c r="HU164" s="280"/>
      <c r="HV164" s="280"/>
      <c r="HW164" s="280"/>
      <c r="HX164" s="280"/>
      <c r="HY164" s="280"/>
      <c r="HZ164" s="280"/>
      <c r="IA164" s="280"/>
      <c r="IB164" s="280"/>
      <c r="IC164" s="280"/>
      <c r="ID164" s="280"/>
      <c r="IE164" s="280"/>
      <c r="IF164" s="280"/>
      <c r="IG164" s="280"/>
      <c r="IH164" s="280"/>
      <c r="II164" s="280"/>
      <c r="IJ164" s="280"/>
    </row>
    <row r="165" spans="1:244" s="281" customFormat="1" ht="15">
      <c r="A165" s="280"/>
      <c r="D165" s="331"/>
      <c r="E165" s="331"/>
      <c r="F165" s="331"/>
      <c r="G165" s="321"/>
      <c r="H165" s="280"/>
      <c r="I165" s="280"/>
      <c r="J165" s="280"/>
      <c r="K165" s="280"/>
      <c r="L165" s="280"/>
      <c r="M165" s="280"/>
      <c r="N165" s="280"/>
      <c r="O165" s="280"/>
      <c r="P165" s="280"/>
      <c r="AC165" s="280"/>
      <c r="AD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80"/>
      <c r="AT165" s="280"/>
      <c r="AU165" s="280"/>
      <c r="AV165" s="280"/>
      <c r="BG165" s="280"/>
      <c r="BH165" s="280"/>
      <c r="BI165" s="280"/>
      <c r="BJ165" s="280"/>
      <c r="BK165" s="280"/>
      <c r="BL165" s="280"/>
      <c r="BM165" s="280"/>
      <c r="BN165" s="280"/>
      <c r="BO165" s="280"/>
      <c r="BP165" s="280"/>
      <c r="BQ165" s="280"/>
      <c r="BR165" s="280"/>
      <c r="BS165" s="280"/>
      <c r="BT165" s="280"/>
      <c r="BU165" s="280"/>
      <c r="BV165" s="280"/>
      <c r="BW165" s="280"/>
      <c r="BX165" s="280"/>
      <c r="BY165" s="280"/>
      <c r="BZ165" s="280"/>
      <c r="CA165" s="280"/>
      <c r="CB165" s="280"/>
      <c r="CC165" s="280"/>
      <c r="CD165" s="280"/>
      <c r="CE165" s="280"/>
      <c r="CF165" s="280"/>
      <c r="CG165" s="280"/>
      <c r="CH165" s="280"/>
      <c r="CI165" s="280"/>
      <c r="CJ165" s="280"/>
      <c r="CK165" s="280"/>
      <c r="CL165" s="280"/>
      <c r="CM165" s="280"/>
      <c r="CN165" s="280"/>
      <c r="CO165" s="280"/>
      <c r="CP165" s="280"/>
      <c r="CQ165" s="280"/>
      <c r="CR165" s="280"/>
      <c r="CS165" s="280"/>
      <c r="CT165" s="280"/>
      <c r="CU165" s="280"/>
      <c r="CV165" s="280"/>
      <c r="CW165" s="280"/>
      <c r="CX165" s="280"/>
      <c r="CY165" s="280"/>
      <c r="CZ165" s="280"/>
      <c r="DA165" s="280"/>
      <c r="DB165" s="280"/>
      <c r="DC165" s="280"/>
      <c r="DD165" s="280"/>
      <c r="DE165" s="280"/>
      <c r="DF165" s="280"/>
      <c r="DG165" s="280"/>
      <c r="DH165" s="280"/>
      <c r="DI165" s="280"/>
      <c r="DJ165" s="280"/>
      <c r="DK165" s="280"/>
      <c r="DL165" s="280"/>
      <c r="DM165" s="280"/>
      <c r="DN165" s="280"/>
      <c r="DO165" s="280"/>
      <c r="DP165" s="280"/>
      <c r="DQ165" s="280"/>
      <c r="DR165" s="280"/>
      <c r="DY165" s="457"/>
      <c r="DZ165" s="457"/>
      <c r="EA165" s="457"/>
      <c r="EB165" s="457"/>
      <c r="EC165" s="457"/>
      <c r="ED165" s="457"/>
      <c r="EE165" s="457"/>
      <c r="EF165" s="457"/>
      <c r="EG165" s="457"/>
      <c r="EH165" s="457"/>
      <c r="EI165" s="457"/>
      <c r="EJ165" s="280"/>
      <c r="EK165" s="280"/>
      <c r="EL165" s="280"/>
      <c r="EM165" s="280"/>
      <c r="EN165" s="280"/>
      <c r="EO165" s="280"/>
      <c r="EY165" s="280"/>
      <c r="EZ165" s="280"/>
      <c r="FA165" s="280"/>
      <c r="FB165" s="280"/>
      <c r="FC165" s="280"/>
      <c r="FD165" s="280"/>
      <c r="FE165" s="280"/>
      <c r="FF165" s="280"/>
      <c r="FG165" s="280"/>
      <c r="FH165" s="280"/>
      <c r="FI165" s="280"/>
      <c r="FJ165" s="280"/>
      <c r="FK165" s="280"/>
      <c r="FL165" s="280"/>
      <c r="FM165" s="280"/>
      <c r="FN165" s="280"/>
      <c r="FO165" s="280"/>
      <c r="FP165" s="280"/>
      <c r="FQ165" s="280"/>
      <c r="FR165" s="280"/>
      <c r="FS165" s="280"/>
      <c r="FT165" s="280"/>
      <c r="FU165" s="280"/>
      <c r="FV165" s="280"/>
      <c r="FW165" s="280"/>
      <c r="FX165" s="280"/>
      <c r="FY165" s="280"/>
      <c r="FZ165" s="280"/>
      <c r="GA165" s="280"/>
      <c r="GB165" s="280"/>
      <c r="GC165" s="280"/>
      <c r="GD165" s="280"/>
      <c r="GE165" s="280"/>
      <c r="GF165" s="280"/>
      <c r="GG165" s="280"/>
      <c r="GH165" s="280"/>
      <c r="GI165" s="280"/>
      <c r="GJ165" s="280"/>
      <c r="GK165" s="280"/>
      <c r="GL165" s="280"/>
      <c r="GM165" s="280"/>
      <c r="GN165" s="280"/>
      <c r="GO165" s="280"/>
      <c r="GP165" s="280"/>
      <c r="GQ165" s="280"/>
      <c r="GR165" s="280"/>
      <c r="GS165" s="280"/>
      <c r="GT165" s="280"/>
      <c r="GU165" s="280"/>
      <c r="GV165" s="280"/>
      <c r="GW165" s="280"/>
      <c r="GX165" s="280"/>
      <c r="GY165" s="280"/>
      <c r="GZ165" s="280"/>
      <c r="HA165" s="280"/>
      <c r="HB165" s="280"/>
      <c r="HC165" s="280"/>
      <c r="HD165" s="280"/>
      <c r="HE165" s="280"/>
      <c r="HF165" s="280"/>
      <c r="HG165" s="280"/>
      <c r="HH165" s="280"/>
      <c r="HI165" s="280"/>
      <c r="HN165" s="280"/>
      <c r="HO165" s="280"/>
      <c r="HU165" s="280"/>
      <c r="HV165" s="280"/>
      <c r="HW165" s="280"/>
      <c r="HX165" s="280"/>
      <c r="HY165" s="280"/>
      <c r="HZ165" s="280"/>
      <c r="IA165" s="280"/>
      <c r="IB165" s="280"/>
      <c r="IC165" s="280"/>
      <c r="ID165" s="280"/>
      <c r="IE165" s="280"/>
      <c r="IF165" s="280"/>
      <c r="IG165" s="280"/>
      <c r="IH165" s="280"/>
      <c r="II165" s="280"/>
      <c r="IJ165" s="280"/>
    </row>
    <row r="166" spans="4:79" s="281" customFormat="1" ht="15">
      <c r="D166" s="331"/>
      <c r="E166" s="331"/>
      <c r="F166" s="331"/>
      <c r="G166" s="334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BI166" s="280"/>
      <c r="BJ166" s="280"/>
      <c r="BK166" s="280"/>
      <c r="BL166" s="280"/>
      <c r="BM166" s="280"/>
      <c r="BN166" s="280"/>
      <c r="BQ166" s="280"/>
      <c r="BR166" s="280"/>
      <c r="BS166" s="280"/>
      <c r="BT166" s="280"/>
      <c r="BU166" s="280"/>
      <c r="BV166" s="280"/>
      <c r="BW166" s="280"/>
      <c r="BX166" s="280"/>
      <c r="BY166" s="280"/>
      <c r="BZ166" s="280"/>
      <c r="CA166" s="280"/>
    </row>
    <row r="167" spans="4:79" s="281" customFormat="1" ht="15">
      <c r="D167" s="331"/>
      <c r="E167" s="331"/>
      <c r="F167" s="331"/>
      <c r="G167" s="334"/>
      <c r="BQ167" s="280"/>
      <c r="BR167" s="280"/>
      <c r="BS167" s="280"/>
      <c r="BT167" s="280"/>
      <c r="BU167" s="280"/>
      <c r="BV167" s="280"/>
      <c r="BW167" s="280"/>
      <c r="BX167" s="280"/>
      <c r="BY167" s="280"/>
      <c r="BZ167" s="280"/>
      <c r="CA167" s="280"/>
    </row>
    <row r="168" spans="4:7" s="281" customFormat="1" ht="15">
      <c r="D168" s="332"/>
      <c r="E168" s="332"/>
      <c r="F168" s="331"/>
      <c r="G168" s="334"/>
    </row>
    <row r="169" spans="4:7" s="281" customFormat="1" ht="15">
      <c r="D169" s="332"/>
      <c r="E169" s="332"/>
      <c r="F169" s="331"/>
      <c r="G169" s="334"/>
    </row>
    <row r="170" spans="4:7" s="281" customFormat="1" ht="15">
      <c r="D170" s="331"/>
      <c r="E170" s="331"/>
      <c r="F170" s="331"/>
      <c r="G170" s="334"/>
    </row>
    <row r="171" spans="4:7" s="281" customFormat="1" ht="15">
      <c r="D171" s="331"/>
      <c r="E171" s="331"/>
      <c r="F171" s="331"/>
      <c r="G171" s="334"/>
    </row>
    <row r="172" spans="4:7" s="281" customFormat="1" ht="15">
      <c r="D172" s="331"/>
      <c r="E172" s="331"/>
      <c r="F172" s="331"/>
      <c r="G172" s="334"/>
    </row>
    <row r="173" spans="4:7" s="281" customFormat="1" ht="15">
      <c r="D173" s="331"/>
      <c r="E173" s="331"/>
      <c r="F173" s="331"/>
      <c r="G173" s="334"/>
    </row>
    <row r="174" spans="4:7" s="281" customFormat="1" ht="15">
      <c r="D174" s="331"/>
      <c r="E174" s="331"/>
      <c r="F174" s="331"/>
      <c r="G174" s="334"/>
    </row>
    <row r="175" spans="4:7" s="281" customFormat="1" ht="15">
      <c r="D175" s="331"/>
      <c r="E175" s="331"/>
      <c r="F175" s="331"/>
      <c r="G175" s="334"/>
    </row>
    <row r="176" spans="4:7" s="281" customFormat="1" ht="15">
      <c r="D176" s="331"/>
      <c r="E176" s="331"/>
      <c r="G176" s="334"/>
    </row>
    <row r="177" spans="4:7" s="281" customFormat="1" ht="15">
      <c r="D177" s="331"/>
      <c r="E177" s="331"/>
      <c r="G177" s="334"/>
    </row>
    <row r="178" spans="4:7" s="281" customFormat="1" ht="15">
      <c r="D178" s="331"/>
      <c r="E178" s="331"/>
      <c r="G178" s="334"/>
    </row>
    <row r="179" spans="4:7" s="281" customFormat="1" ht="15">
      <c r="D179" s="331"/>
      <c r="E179" s="331"/>
      <c r="G179" s="334"/>
    </row>
    <row r="180" spans="4:7" s="281" customFormat="1" ht="15">
      <c r="D180" s="331"/>
      <c r="E180" s="331"/>
      <c r="G180" s="334"/>
    </row>
    <row r="181" spans="4:7" s="281" customFormat="1" ht="15">
      <c r="D181" s="331"/>
      <c r="E181" s="331"/>
      <c r="G181" s="334"/>
    </row>
    <row r="182" s="281" customFormat="1" ht="15">
      <c r="G182" s="334"/>
    </row>
    <row r="183" s="281" customFormat="1" ht="15">
      <c r="G183" s="335"/>
    </row>
    <row r="184" s="281" customFormat="1" ht="15">
      <c r="G184" s="334"/>
    </row>
    <row r="185" s="281" customFormat="1" ht="15">
      <c r="G185" s="334"/>
    </row>
    <row r="186" s="281" customFormat="1" ht="15">
      <c r="G186" s="334"/>
    </row>
    <row r="187" s="281" customFormat="1" ht="15">
      <c r="G187" s="336"/>
    </row>
    <row r="188" s="281" customFormat="1" ht="15">
      <c r="G188" s="337"/>
    </row>
    <row r="189" spans="7:36" s="281" customFormat="1" ht="15">
      <c r="G189" s="337"/>
      <c r="AJ189" s="338"/>
    </row>
    <row r="190" spans="7:36" s="281" customFormat="1" ht="15">
      <c r="G190" s="331"/>
      <c r="AJ190" s="338"/>
    </row>
    <row r="191" s="281" customFormat="1" ht="15">
      <c r="G191" s="331"/>
    </row>
    <row r="192" s="281" customFormat="1" ht="15">
      <c r="G192" s="331"/>
    </row>
    <row r="193" s="281" customFormat="1" ht="15">
      <c r="G193" s="331"/>
    </row>
    <row r="194" s="281" customFormat="1" ht="15">
      <c r="G194" s="331"/>
    </row>
    <row r="195" s="281" customFormat="1" ht="15">
      <c r="G195" s="331"/>
    </row>
    <row r="196" s="281" customFormat="1" ht="15">
      <c r="G196" s="331"/>
    </row>
    <row r="197" spans="7:9" s="281" customFormat="1" ht="15">
      <c r="G197" s="331"/>
      <c r="H197" s="331"/>
      <c r="I197" s="331"/>
    </row>
    <row r="198" spans="7:9" s="281" customFormat="1" ht="15">
      <c r="G198" s="331"/>
      <c r="H198" s="331"/>
      <c r="I198" s="331"/>
    </row>
    <row r="199" spans="7:9" s="281" customFormat="1" ht="15">
      <c r="G199" s="331"/>
      <c r="H199" s="331"/>
      <c r="I199" s="331"/>
    </row>
    <row r="200" spans="7:9" s="281" customFormat="1" ht="15">
      <c r="G200" s="331"/>
      <c r="H200" s="331"/>
      <c r="I200" s="331"/>
    </row>
    <row r="201" spans="7:9" s="281" customFormat="1" ht="15">
      <c r="G201" s="331"/>
      <c r="H201" s="331"/>
      <c r="I201" s="331"/>
    </row>
    <row r="202" spans="7:9" s="281" customFormat="1" ht="15">
      <c r="G202" s="331"/>
      <c r="H202" s="331"/>
      <c r="I202" s="331"/>
    </row>
    <row r="203" spans="7:9" s="281" customFormat="1" ht="15">
      <c r="G203" s="331"/>
      <c r="H203" s="331"/>
      <c r="I203" s="331"/>
    </row>
    <row r="204" spans="7:9" s="281" customFormat="1" ht="15">
      <c r="G204" s="331"/>
      <c r="H204" s="331"/>
      <c r="I204" s="331"/>
    </row>
    <row r="205" spans="7:9" s="281" customFormat="1" ht="15">
      <c r="G205" s="331"/>
      <c r="H205" s="331"/>
      <c r="I205" s="331"/>
    </row>
    <row r="206" spans="7:9" s="281" customFormat="1" ht="15">
      <c r="G206" s="331"/>
      <c r="H206" s="331"/>
      <c r="I206" s="331"/>
    </row>
    <row r="207" spans="7:10" s="281" customFormat="1" ht="15">
      <c r="G207" s="331"/>
      <c r="H207" s="331"/>
      <c r="I207" s="331"/>
      <c r="J207" s="331"/>
    </row>
    <row r="208" spans="7:10" s="281" customFormat="1" ht="15">
      <c r="G208" s="331"/>
      <c r="H208" s="331"/>
      <c r="I208" s="339"/>
      <c r="J208" s="331"/>
    </row>
    <row r="209" spans="7:10" s="281" customFormat="1" ht="15">
      <c r="G209" s="331"/>
      <c r="H209" s="331"/>
      <c r="I209" s="339"/>
      <c r="J209" s="331"/>
    </row>
    <row r="210" spans="7:10" s="281" customFormat="1" ht="15">
      <c r="G210" s="331"/>
      <c r="H210" s="331"/>
      <c r="I210" s="331"/>
      <c r="J210" s="331"/>
    </row>
    <row r="211" spans="7:10" s="281" customFormat="1" ht="15">
      <c r="G211" s="331"/>
      <c r="H211" s="331"/>
      <c r="I211" s="334"/>
      <c r="J211" s="331"/>
    </row>
    <row r="212" spans="7:10" s="281" customFormat="1" ht="15">
      <c r="G212" s="331"/>
      <c r="H212" s="331"/>
      <c r="I212" s="334"/>
      <c r="J212" s="331"/>
    </row>
    <row r="213" spans="7:10" s="281" customFormat="1" ht="15">
      <c r="G213" s="331"/>
      <c r="H213" s="331"/>
      <c r="I213" s="334"/>
      <c r="J213" s="331"/>
    </row>
    <row r="214" spans="7:10" s="281" customFormat="1" ht="15">
      <c r="G214" s="331"/>
      <c r="H214" s="331"/>
      <c r="I214" s="334"/>
      <c r="J214" s="331"/>
    </row>
    <row r="215" spans="7:10" s="281" customFormat="1" ht="15">
      <c r="G215" s="331"/>
      <c r="H215" s="331"/>
      <c r="I215" s="334"/>
      <c r="J215" s="331"/>
    </row>
    <row r="216" spans="7:10" s="281" customFormat="1" ht="15">
      <c r="G216" s="331"/>
      <c r="H216" s="331"/>
      <c r="I216" s="334"/>
      <c r="J216" s="340"/>
    </row>
    <row r="217" spans="7:10" s="281" customFormat="1" ht="15">
      <c r="G217" s="331"/>
      <c r="H217" s="331"/>
      <c r="I217" s="334"/>
      <c r="J217" s="340"/>
    </row>
    <row r="218" spans="7:10" s="281" customFormat="1" ht="15">
      <c r="G218" s="331"/>
      <c r="H218" s="331"/>
      <c r="I218" s="334"/>
      <c r="J218" s="340"/>
    </row>
    <row r="219" spans="7:11" s="281" customFormat="1" ht="15">
      <c r="G219" s="331"/>
      <c r="H219" s="331"/>
      <c r="I219" s="334"/>
      <c r="J219" s="340"/>
      <c r="K219" s="341"/>
    </row>
    <row r="220" spans="7:11" s="281" customFormat="1" ht="15">
      <c r="G220" s="331"/>
      <c r="H220" s="331"/>
      <c r="I220" s="334"/>
      <c r="J220" s="340"/>
      <c r="K220" s="341"/>
    </row>
    <row r="221" spans="7:11" s="281" customFormat="1" ht="15">
      <c r="G221" s="331"/>
      <c r="H221" s="331"/>
      <c r="I221" s="334"/>
      <c r="J221" s="340"/>
      <c r="K221" s="341"/>
    </row>
    <row r="222" spans="7:11" s="281" customFormat="1" ht="15">
      <c r="G222" s="331"/>
      <c r="H222" s="331"/>
      <c r="I222" s="334"/>
      <c r="J222" s="340"/>
      <c r="K222" s="341"/>
    </row>
    <row r="223" spans="7:11" s="281" customFormat="1" ht="15">
      <c r="G223" s="331"/>
      <c r="H223" s="331"/>
      <c r="I223" s="334"/>
      <c r="J223" s="340"/>
      <c r="K223" s="341"/>
    </row>
    <row r="224" spans="7:11" s="281" customFormat="1" ht="15">
      <c r="G224" s="331"/>
      <c r="H224" s="331"/>
      <c r="I224" s="334"/>
      <c r="J224" s="340"/>
      <c r="K224" s="341"/>
    </row>
    <row r="225" spans="7:11" s="281" customFormat="1" ht="15">
      <c r="G225" s="331"/>
      <c r="H225" s="339"/>
      <c r="I225" s="334"/>
      <c r="J225" s="340"/>
      <c r="K225" s="341"/>
    </row>
    <row r="226" spans="7:11" s="281" customFormat="1" ht="15">
      <c r="G226" s="331"/>
      <c r="H226" s="331"/>
      <c r="I226" s="334"/>
      <c r="J226" s="331"/>
      <c r="K226" s="341"/>
    </row>
    <row r="227" spans="7:11" s="281" customFormat="1" ht="15">
      <c r="G227" s="331"/>
      <c r="H227" s="331"/>
      <c r="I227" s="334"/>
      <c r="J227" s="331"/>
      <c r="K227" s="341"/>
    </row>
    <row r="228" spans="7:10" s="281" customFormat="1" ht="15">
      <c r="G228" s="331"/>
      <c r="H228" s="331"/>
      <c r="I228" s="334"/>
      <c r="J228" s="340"/>
    </row>
    <row r="229" spans="7:9" s="281" customFormat="1" ht="15">
      <c r="G229" s="331"/>
      <c r="H229" s="331"/>
      <c r="I229" s="334"/>
    </row>
    <row r="230" spans="7:9" s="281" customFormat="1" ht="15">
      <c r="G230" s="331"/>
      <c r="H230" s="331"/>
      <c r="I230" s="334"/>
    </row>
    <row r="231" spans="7:9" s="281" customFormat="1" ht="15">
      <c r="G231" s="331"/>
      <c r="H231" s="331"/>
      <c r="I231" s="334"/>
    </row>
    <row r="232" spans="7:9" s="281" customFormat="1" ht="15">
      <c r="G232" s="331"/>
      <c r="H232" s="331"/>
      <c r="I232" s="334"/>
    </row>
    <row r="233" spans="7:9" s="281" customFormat="1" ht="15">
      <c r="G233" s="331"/>
      <c r="H233" s="331"/>
      <c r="I233" s="334"/>
    </row>
    <row r="234" spans="7:9" s="281" customFormat="1" ht="15">
      <c r="G234" s="331"/>
      <c r="H234" s="331"/>
      <c r="I234" s="331"/>
    </row>
    <row r="235" spans="7:9" s="281" customFormat="1" ht="15">
      <c r="G235" s="331"/>
      <c r="H235" s="331"/>
      <c r="I235" s="334"/>
    </row>
    <row r="236" spans="7:9" s="281" customFormat="1" ht="15">
      <c r="G236" s="331"/>
      <c r="H236" s="331"/>
      <c r="I236" s="331"/>
    </row>
    <row r="237" spans="7:9" s="281" customFormat="1" ht="15">
      <c r="G237" s="331"/>
      <c r="H237" s="331"/>
      <c r="I237" s="331"/>
    </row>
    <row r="238" spans="7:9" s="281" customFormat="1" ht="15">
      <c r="G238" s="331"/>
      <c r="H238" s="331"/>
      <c r="I238" s="331"/>
    </row>
    <row r="239" spans="7:9" s="281" customFormat="1" ht="15">
      <c r="G239" s="331"/>
      <c r="H239" s="331"/>
      <c r="I239" s="331"/>
    </row>
    <row r="240" spans="7:10" s="281" customFormat="1" ht="15">
      <c r="G240" s="331"/>
      <c r="H240" s="331"/>
      <c r="I240" s="334"/>
      <c r="J240" s="341"/>
    </row>
    <row r="241" spans="7:10" s="281" customFormat="1" ht="15">
      <c r="G241" s="331"/>
      <c r="H241" s="331"/>
      <c r="I241" s="334"/>
      <c r="J241" s="341"/>
    </row>
    <row r="242" spans="7:10" s="281" customFormat="1" ht="15">
      <c r="G242" s="331"/>
      <c r="H242" s="331"/>
      <c r="I242" s="334"/>
      <c r="J242" s="341"/>
    </row>
    <row r="243" spans="7:10" s="281" customFormat="1" ht="15">
      <c r="G243" s="331"/>
      <c r="H243" s="331"/>
      <c r="I243" s="334"/>
      <c r="J243" s="341"/>
    </row>
    <row r="244" spans="7:10" s="281" customFormat="1" ht="15">
      <c r="G244" s="331"/>
      <c r="H244" s="331"/>
      <c r="I244" s="334"/>
      <c r="J244" s="341"/>
    </row>
    <row r="245" spans="7:9" s="281" customFormat="1" ht="15">
      <c r="G245" s="331"/>
      <c r="H245" s="331"/>
      <c r="I245" s="334"/>
    </row>
    <row r="246" spans="7:10" s="281" customFormat="1" ht="15">
      <c r="G246" s="331"/>
      <c r="H246" s="331"/>
      <c r="I246" s="334"/>
      <c r="J246" s="341"/>
    </row>
    <row r="247" spans="7:10" s="281" customFormat="1" ht="15">
      <c r="G247" s="331"/>
      <c r="H247" s="331"/>
      <c r="I247" s="334"/>
      <c r="J247" s="341"/>
    </row>
    <row r="248" spans="7:9" s="281" customFormat="1" ht="15">
      <c r="G248" s="331"/>
      <c r="H248" s="331"/>
      <c r="I248" s="334"/>
    </row>
    <row r="249" spans="7:9" s="281" customFormat="1" ht="15">
      <c r="G249" s="331"/>
      <c r="H249" s="331"/>
      <c r="I249" s="334"/>
    </row>
    <row r="250" spans="7:9" s="281" customFormat="1" ht="15">
      <c r="G250" s="331"/>
      <c r="H250" s="331"/>
      <c r="I250" s="331"/>
    </row>
    <row r="251" spans="7:9" s="281" customFormat="1" ht="15">
      <c r="G251" s="331"/>
      <c r="H251" s="331"/>
      <c r="I251" s="331"/>
    </row>
    <row r="252" spans="7:9" s="281" customFormat="1" ht="15">
      <c r="G252" s="331"/>
      <c r="H252" s="331"/>
      <c r="I252" s="334"/>
    </row>
    <row r="253" spans="7:9" s="281" customFormat="1" ht="15">
      <c r="G253" s="331"/>
      <c r="H253" s="331"/>
      <c r="I253" s="334"/>
    </row>
    <row r="254" spans="7:9" s="281" customFormat="1" ht="15">
      <c r="G254" s="331"/>
      <c r="H254" s="331"/>
      <c r="I254" s="334"/>
    </row>
    <row r="255" spans="7:9" s="281" customFormat="1" ht="15">
      <c r="G255" s="331"/>
      <c r="H255" s="331"/>
      <c r="I255" s="334"/>
    </row>
    <row r="256" spans="7:9" s="281" customFormat="1" ht="15">
      <c r="G256" s="331"/>
      <c r="H256" s="331"/>
      <c r="I256" s="334"/>
    </row>
    <row r="257" spans="8:37" s="281" customFormat="1" ht="15">
      <c r="H257" s="331"/>
      <c r="I257" s="334"/>
      <c r="AK257" s="282"/>
    </row>
    <row r="258" spans="8:9" s="281" customFormat="1" ht="15">
      <c r="H258" s="331"/>
      <c r="I258" s="334"/>
    </row>
    <row r="259" spans="8:9" s="281" customFormat="1" ht="15">
      <c r="H259" s="331"/>
      <c r="I259" s="331"/>
    </row>
    <row r="260" spans="8:9" s="281" customFormat="1" ht="15">
      <c r="H260" s="331"/>
      <c r="I260" s="334"/>
    </row>
    <row r="261" spans="8:9" s="281" customFormat="1" ht="15">
      <c r="H261" s="331"/>
      <c r="I261" s="331"/>
    </row>
    <row r="262" spans="8:9" s="281" customFormat="1" ht="15">
      <c r="H262" s="331"/>
      <c r="I262" s="334"/>
    </row>
    <row r="263" spans="8:9" s="281" customFormat="1" ht="15">
      <c r="H263" s="331"/>
      <c r="I263" s="331"/>
    </row>
    <row r="264" spans="8:9" s="281" customFormat="1" ht="15">
      <c r="H264" s="331"/>
      <c r="I264" s="334"/>
    </row>
    <row r="265" spans="8:9" s="281" customFormat="1" ht="15">
      <c r="H265" s="331"/>
      <c r="I265" s="331"/>
    </row>
    <row r="266" spans="8:9" s="281" customFormat="1" ht="15">
      <c r="H266" s="331"/>
      <c r="I266" s="331"/>
    </row>
    <row r="267" spans="8:9" s="281" customFormat="1" ht="15">
      <c r="H267" s="331"/>
      <c r="I267" s="331"/>
    </row>
    <row r="268" spans="8:9" s="281" customFormat="1" ht="15">
      <c r="H268" s="331"/>
      <c r="I268" s="331"/>
    </row>
    <row r="269" spans="8:9" s="281" customFormat="1" ht="15">
      <c r="H269" s="331"/>
      <c r="I269" s="331"/>
    </row>
    <row r="270" spans="8:9" s="281" customFormat="1" ht="15">
      <c r="H270" s="331"/>
      <c r="I270" s="331"/>
    </row>
    <row r="271" spans="8:9" s="281" customFormat="1" ht="15">
      <c r="H271" s="331"/>
      <c r="I271" s="331"/>
    </row>
    <row r="272" spans="8:9" s="281" customFormat="1" ht="15">
      <c r="H272" s="331"/>
      <c r="I272" s="331"/>
    </row>
    <row r="273" spans="8:48" s="281" customFormat="1" ht="15">
      <c r="H273" s="331"/>
      <c r="I273" s="331"/>
      <c r="AV273" s="342"/>
    </row>
    <row r="274" spans="8:9" s="281" customFormat="1" ht="15">
      <c r="H274" s="331"/>
      <c r="I274" s="331"/>
    </row>
    <row r="275" spans="8:9" s="281" customFormat="1" ht="15">
      <c r="H275" s="331"/>
      <c r="I275" s="331"/>
    </row>
    <row r="276" spans="8:9" s="281" customFormat="1" ht="15">
      <c r="H276" s="331"/>
      <c r="I276" s="331"/>
    </row>
    <row r="277" spans="8:9" s="281" customFormat="1" ht="15">
      <c r="H277" s="331"/>
      <c r="I277" s="331"/>
    </row>
    <row r="278" spans="8:9" s="281" customFormat="1" ht="15">
      <c r="H278" s="331"/>
      <c r="I278" s="331"/>
    </row>
    <row r="279" spans="8:9" s="281" customFormat="1" ht="15">
      <c r="H279" s="331"/>
      <c r="I279" s="331"/>
    </row>
    <row r="280" spans="8:9" s="281" customFormat="1" ht="15">
      <c r="H280" s="331"/>
      <c r="I280" s="331"/>
    </row>
    <row r="281" spans="8:9" s="281" customFormat="1" ht="15">
      <c r="H281" s="331"/>
      <c r="I281" s="331"/>
    </row>
    <row r="282" spans="8:9" s="281" customFormat="1" ht="15">
      <c r="H282" s="331"/>
      <c r="I282" s="331"/>
    </row>
    <row r="283" spans="8:9" s="281" customFormat="1" ht="15">
      <c r="H283" s="331"/>
      <c r="I283" s="331"/>
    </row>
    <row r="284" spans="8:9" s="281" customFormat="1" ht="15">
      <c r="H284" s="331"/>
      <c r="I284" s="331"/>
    </row>
    <row r="285" spans="8:9" s="281" customFormat="1" ht="15">
      <c r="H285" s="331"/>
      <c r="I285" s="331"/>
    </row>
    <row r="286" spans="8:9" s="281" customFormat="1" ht="15">
      <c r="H286" s="331"/>
      <c r="I286" s="331"/>
    </row>
    <row r="287" s="281" customFormat="1" ht="15"/>
    <row r="288" s="281" customFormat="1" ht="15"/>
    <row r="289" s="281" customFormat="1" ht="15"/>
    <row r="290" s="281" customFormat="1" ht="15"/>
    <row r="291" s="281" customFormat="1" ht="15"/>
    <row r="292" s="281" customFormat="1" ht="15"/>
    <row r="293" s="281" customFormat="1" ht="15"/>
    <row r="294" s="281" customFormat="1" ht="15"/>
    <row r="295" s="281" customFormat="1" ht="15"/>
    <row r="296" s="281" customFormat="1" ht="15"/>
    <row r="297" s="281" customFormat="1" ht="15"/>
    <row r="298" s="281" customFormat="1" ht="15"/>
    <row r="299" spans="8:10" s="281" customFormat="1" ht="15">
      <c r="H299" s="331"/>
      <c r="I299" s="331"/>
      <c r="J299" s="331"/>
    </row>
    <row r="300" spans="8:10" s="281" customFormat="1" ht="15">
      <c r="H300" s="331"/>
      <c r="I300" s="331"/>
      <c r="J300" s="331"/>
    </row>
    <row r="301" spans="8:10" s="281" customFormat="1" ht="15">
      <c r="H301" s="331"/>
      <c r="I301" s="331"/>
      <c r="J301" s="331"/>
    </row>
    <row r="302" spans="8:10" s="281" customFormat="1" ht="15">
      <c r="H302" s="331"/>
      <c r="I302" s="331"/>
      <c r="J302" s="331"/>
    </row>
    <row r="303" spans="8:10" s="281" customFormat="1" ht="15">
      <c r="H303" s="331"/>
      <c r="I303" s="331"/>
      <c r="J303" s="331"/>
    </row>
    <row r="304" spans="8:10" s="281" customFormat="1" ht="15">
      <c r="H304" s="331"/>
      <c r="I304" s="331"/>
      <c r="J304" s="331"/>
    </row>
    <row r="305" spans="8:10" s="281" customFormat="1" ht="15">
      <c r="H305" s="331"/>
      <c r="I305" s="331"/>
      <c r="J305" s="331"/>
    </row>
    <row r="306" spans="8:10" s="281" customFormat="1" ht="15">
      <c r="H306" s="331"/>
      <c r="I306" s="331"/>
      <c r="J306" s="331"/>
    </row>
    <row r="307" spans="8:10" s="281" customFormat="1" ht="15">
      <c r="H307" s="331"/>
      <c r="I307" s="331"/>
      <c r="J307" s="331"/>
    </row>
    <row r="308" spans="8:10" s="281" customFormat="1" ht="15">
      <c r="H308" s="331"/>
      <c r="I308" s="331"/>
      <c r="J308" s="331"/>
    </row>
    <row r="309" spans="8:10" s="281" customFormat="1" ht="15">
      <c r="H309" s="331"/>
      <c r="I309" s="331"/>
      <c r="J309" s="331"/>
    </row>
    <row r="310" spans="8:10" s="281" customFormat="1" ht="15">
      <c r="H310" s="331"/>
      <c r="I310" s="331"/>
      <c r="J310" s="331"/>
    </row>
    <row r="311" spans="8:10" s="281" customFormat="1" ht="15">
      <c r="H311" s="331"/>
      <c r="I311" s="331"/>
      <c r="J311" s="331"/>
    </row>
    <row r="312" spans="8:10" s="281" customFormat="1" ht="15">
      <c r="H312" s="331"/>
      <c r="I312" s="331"/>
      <c r="J312" s="331"/>
    </row>
    <row r="313" spans="8:10" s="281" customFormat="1" ht="15">
      <c r="H313" s="331"/>
      <c r="I313" s="331"/>
      <c r="J313" s="331"/>
    </row>
    <row r="314" spans="8:10" s="281" customFormat="1" ht="15">
      <c r="H314" s="331"/>
      <c r="I314" s="331"/>
      <c r="J314" s="331"/>
    </row>
    <row r="315" spans="8:10" s="281" customFormat="1" ht="15">
      <c r="H315" s="331"/>
      <c r="I315" s="331"/>
      <c r="J315" s="331"/>
    </row>
    <row r="316" spans="8:10" s="281" customFormat="1" ht="15">
      <c r="H316" s="331"/>
      <c r="I316" s="331"/>
      <c r="J316" s="331"/>
    </row>
    <row r="317" spans="8:10" s="281" customFormat="1" ht="15">
      <c r="H317" s="331"/>
      <c r="I317" s="331"/>
      <c r="J317" s="331"/>
    </row>
    <row r="318" spans="8:10" s="281" customFormat="1" ht="15">
      <c r="H318" s="331"/>
      <c r="I318" s="331"/>
      <c r="J318" s="331"/>
    </row>
    <row r="319" spans="8:10" s="281" customFormat="1" ht="15">
      <c r="H319" s="331"/>
      <c r="I319" s="331"/>
      <c r="J319" s="331"/>
    </row>
    <row r="320" spans="8:10" s="281" customFormat="1" ht="15">
      <c r="H320" s="331"/>
      <c r="I320" s="331"/>
      <c r="J320" s="331"/>
    </row>
    <row r="321" spans="8:10" s="281" customFormat="1" ht="15">
      <c r="H321" s="331"/>
      <c r="I321" s="331"/>
      <c r="J321" s="331"/>
    </row>
    <row r="322" spans="8:10" s="281" customFormat="1" ht="15">
      <c r="H322" s="331"/>
      <c r="I322" s="331"/>
      <c r="J322" s="331"/>
    </row>
    <row r="323" spans="8:10" s="281" customFormat="1" ht="15">
      <c r="H323" s="331"/>
      <c r="I323" s="331"/>
      <c r="J323" s="331"/>
    </row>
    <row r="324" spans="8:10" s="281" customFormat="1" ht="15">
      <c r="H324" s="331"/>
      <c r="I324" s="331"/>
      <c r="J324" s="331"/>
    </row>
    <row r="325" spans="8:10" s="281" customFormat="1" ht="15">
      <c r="H325" s="331"/>
      <c r="I325" s="331"/>
      <c r="J325" s="331"/>
    </row>
    <row r="326" spans="8:10" s="281" customFormat="1" ht="15">
      <c r="H326" s="331"/>
      <c r="I326" s="331"/>
      <c r="J326" s="331"/>
    </row>
    <row r="327" spans="8:10" s="281" customFormat="1" ht="15">
      <c r="H327" s="331"/>
      <c r="I327" s="331"/>
      <c r="J327" s="331"/>
    </row>
    <row r="328" spans="8:10" s="281" customFormat="1" ht="15">
      <c r="H328" s="331"/>
      <c r="I328" s="331"/>
      <c r="J328" s="331"/>
    </row>
    <row r="329" spans="8:10" s="281" customFormat="1" ht="15">
      <c r="H329" s="331"/>
      <c r="I329" s="331"/>
      <c r="J329" s="331"/>
    </row>
    <row r="330" spans="8:10" s="281" customFormat="1" ht="15">
      <c r="H330" s="331"/>
      <c r="I330" s="331"/>
      <c r="J330" s="331"/>
    </row>
    <row r="331" spans="8:10" s="281" customFormat="1" ht="15">
      <c r="H331" s="331"/>
      <c r="I331" s="331"/>
      <c r="J331" s="331"/>
    </row>
    <row r="332" spans="8:10" s="281" customFormat="1" ht="15">
      <c r="H332" s="331"/>
      <c r="I332" s="331"/>
      <c r="J332" s="331"/>
    </row>
    <row r="333" spans="8:10" s="281" customFormat="1" ht="15">
      <c r="H333" s="331"/>
      <c r="I333" s="331"/>
      <c r="J333" s="331"/>
    </row>
    <row r="334" spans="8:10" s="281" customFormat="1" ht="15">
      <c r="H334" s="331"/>
      <c r="I334" s="331"/>
      <c r="J334" s="331"/>
    </row>
    <row r="335" spans="8:10" s="281" customFormat="1" ht="15">
      <c r="H335" s="331"/>
      <c r="I335" s="331"/>
      <c r="J335" s="331"/>
    </row>
    <row r="336" spans="8:10" s="281" customFormat="1" ht="15">
      <c r="H336" s="331"/>
      <c r="I336" s="331"/>
      <c r="J336" s="331"/>
    </row>
    <row r="337" spans="8:10" s="281" customFormat="1" ht="15">
      <c r="H337" s="331"/>
      <c r="I337" s="331"/>
      <c r="J337" s="331"/>
    </row>
    <row r="338" spans="8:10" s="281" customFormat="1" ht="15">
      <c r="H338" s="331"/>
      <c r="I338" s="331"/>
      <c r="J338" s="331"/>
    </row>
    <row r="339" spans="8:10" s="281" customFormat="1" ht="15">
      <c r="H339" s="331"/>
      <c r="I339" s="331"/>
      <c r="J339" s="331"/>
    </row>
    <row r="340" spans="8:10" s="281" customFormat="1" ht="15">
      <c r="H340" s="331"/>
      <c r="I340" s="331"/>
      <c r="J340" s="331"/>
    </row>
    <row r="341" spans="8:10" s="281" customFormat="1" ht="15">
      <c r="H341" s="331"/>
      <c r="I341" s="331"/>
      <c r="J341" s="331"/>
    </row>
    <row r="342" spans="8:10" s="281" customFormat="1" ht="15">
      <c r="H342" s="331"/>
      <c r="I342" s="331"/>
      <c r="J342" s="331"/>
    </row>
    <row r="343" spans="8:10" s="281" customFormat="1" ht="15">
      <c r="H343" s="331"/>
      <c r="I343" s="331"/>
      <c r="J343" s="331"/>
    </row>
    <row r="344" spans="8:10" s="281" customFormat="1" ht="15">
      <c r="H344" s="331"/>
      <c r="I344" s="331"/>
      <c r="J344" s="331"/>
    </row>
    <row r="345" spans="8:10" s="281" customFormat="1" ht="15">
      <c r="H345" s="331"/>
      <c r="I345" s="331"/>
      <c r="J345" s="331"/>
    </row>
    <row r="346" spans="8:10" s="281" customFormat="1" ht="15">
      <c r="H346" s="331"/>
      <c r="I346" s="331"/>
      <c r="J346" s="331"/>
    </row>
    <row r="347" s="281" customFormat="1" ht="15"/>
    <row r="348" s="281" customFormat="1" ht="15"/>
    <row r="349" s="281" customFormat="1" ht="15"/>
    <row r="350" s="281" customFormat="1" ht="15"/>
    <row r="351" s="281" customFormat="1" ht="15"/>
    <row r="352" s="281" customFormat="1" ht="15"/>
    <row r="353" s="281" customFormat="1" ht="15"/>
    <row r="354" s="281" customFormat="1" ht="15"/>
    <row r="355" s="281" customFormat="1" ht="15"/>
    <row r="356" s="281" customFormat="1" ht="15"/>
    <row r="357" s="281" customFormat="1" ht="15"/>
    <row r="358" s="281" customFormat="1" ht="15"/>
    <row r="359" s="281" customFormat="1" ht="15"/>
    <row r="360" s="281" customFormat="1" ht="15"/>
    <row r="361" s="281" customFormat="1" ht="15"/>
    <row r="362" s="281" customFormat="1" ht="15"/>
    <row r="363" s="281" customFormat="1" ht="15"/>
    <row r="364" s="281" customFormat="1" ht="15"/>
    <row r="365" s="281" customFormat="1" ht="15"/>
    <row r="366" s="281" customFormat="1" ht="15"/>
    <row r="367" s="281" customFormat="1" ht="15"/>
    <row r="368" s="281" customFormat="1" ht="15"/>
    <row r="369" s="281" customFormat="1" ht="15"/>
    <row r="370" s="281" customFormat="1" ht="15"/>
    <row r="371" s="281" customFormat="1" ht="15"/>
    <row r="372" s="281" customFormat="1" ht="15"/>
    <row r="373" s="281" customFormat="1" ht="15"/>
    <row r="374" s="281" customFormat="1" ht="15"/>
    <row r="375" s="281" customFormat="1" ht="15"/>
    <row r="376" s="281" customFormat="1" ht="15"/>
    <row r="377" s="281" customFormat="1" ht="15"/>
    <row r="378" s="281" customFormat="1" ht="15"/>
    <row r="379" s="281" customFormat="1" ht="15"/>
    <row r="380" s="281" customFormat="1" ht="15"/>
    <row r="381" s="281" customFormat="1" ht="15"/>
    <row r="382" s="281" customFormat="1" ht="15"/>
    <row r="383" s="281" customFormat="1" ht="15"/>
    <row r="384" s="281" customFormat="1" ht="15"/>
    <row r="385" s="281" customFormat="1" ht="15"/>
    <row r="386" s="281" customFormat="1" ht="15"/>
    <row r="387" s="281" customFormat="1" ht="15"/>
    <row r="388" s="281" customFormat="1" ht="15"/>
    <row r="389" s="281" customFormat="1" ht="15"/>
    <row r="390" s="281" customFormat="1" ht="15"/>
    <row r="391" s="281" customFormat="1" ht="15"/>
    <row r="392" s="281" customFormat="1" ht="15"/>
    <row r="393" s="281" customFormat="1" ht="15"/>
    <row r="394" s="281" customFormat="1" ht="15"/>
    <row r="395" s="281" customFormat="1" ht="15"/>
    <row r="396" spans="2:6" s="281" customFormat="1" ht="15.75">
      <c r="B396" s="283"/>
      <c r="C396" s="283"/>
      <c r="D396" s="283"/>
      <c r="E396" s="283"/>
      <c r="F396" s="283"/>
    </row>
    <row r="397" spans="2:6" s="281" customFormat="1" ht="15.75">
      <c r="B397" s="283"/>
      <c r="C397" s="283"/>
      <c r="D397" s="283"/>
      <c r="E397" s="283"/>
      <c r="F397" s="283"/>
    </row>
    <row r="398" spans="2:6" s="281" customFormat="1" ht="15.75">
      <c r="B398" s="283"/>
      <c r="C398" s="283"/>
      <c r="D398" s="283"/>
      <c r="E398" s="283"/>
      <c r="F398" s="283"/>
    </row>
    <row r="399" spans="2:6" s="281" customFormat="1" ht="15.75">
      <c r="B399" s="283"/>
      <c r="C399" s="283"/>
      <c r="D399" s="283"/>
      <c r="E399" s="283"/>
      <c r="F399" s="283"/>
    </row>
    <row r="400" spans="2:6" s="281" customFormat="1" ht="15.75">
      <c r="B400" s="283"/>
      <c r="C400" s="283"/>
      <c r="D400" s="283"/>
      <c r="E400" s="283"/>
      <c r="F400" s="283"/>
    </row>
    <row r="401" spans="2:6" s="281" customFormat="1" ht="15.75">
      <c r="B401" s="283"/>
      <c r="C401" s="283"/>
      <c r="D401" s="283"/>
      <c r="E401" s="283"/>
      <c r="F401" s="283"/>
    </row>
    <row r="402" spans="2:6" s="281" customFormat="1" ht="15.75">
      <c r="B402" s="283"/>
      <c r="C402" s="283"/>
      <c r="D402" s="283"/>
      <c r="E402" s="283"/>
      <c r="F402" s="283"/>
    </row>
    <row r="403" spans="2:6" s="281" customFormat="1" ht="15.75">
      <c r="B403" s="283"/>
      <c r="C403" s="283"/>
      <c r="D403" s="283"/>
      <c r="E403" s="283"/>
      <c r="F403" s="283"/>
    </row>
    <row r="404" spans="2:6" s="281" customFormat="1" ht="15.75">
      <c r="B404" s="283"/>
      <c r="C404" s="283"/>
      <c r="D404" s="283"/>
      <c r="E404" s="283"/>
      <c r="F404" s="283"/>
    </row>
    <row r="405" spans="2:6" s="281" customFormat="1" ht="15.75">
      <c r="B405" s="283"/>
      <c r="C405" s="283"/>
      <c r="D405" s="283"/>
      <c r="E405" s="283"/>
      <c r="F405" s="283"/>
    </row>
    <row r="406" spans="2:6" s="281" customFormat="1" ht="15.75">
      <c r="B406" s="283"/>
      <c r="C406" s="283"/>
      <c r="D406" s="283"/>
      <c r="E406" s="283"/>
      <c r="F406" s="283"/>
    </row>
    <row r="407" spans="2:6" s="281" customFormat="1" ht="15.75">
      <c r="B407" s="283"/>
      <c r="C407" s="283"/>
      <c r="D407" s="283"/>
      <c r="E407" s="283"/>
      <c r="F407" s="283"/>
    </row>
    <row r="408" spans="2:6" s="281" customFormat="1" ht="15.75">
      <c r="B408" s="283"/>
      <c r="C408" s="283"/>
      <c r="D408" s="283"/>
      <c r="E408" s="283"/>
      <c r="F408" s="283"/>
    </row>
    <row r="409" spans="2:6" s="281" customFormat="1" ht="15.75">
      <c r="B409" s="283"/>
      <c r="C409" s="283"/>
      <c r="D409" s="283"/>
      <c r="E409" s="283"/>
      <c r="F409" s="283"/>
    </row>
    <row r="410" spans="2:6" s="281" customFormat="1" ht="15.75">
      <c r="B410" s="283"/>
      <c r="C410" s="283"/>
      <c r="D410" s="283"/>
      <c r="E410" s="283"/>
      <c r="F410" s="283"/>
    </row>
    <row r="411" spans="2:6" s="281" customFormat="1" ht="15.75">
      <c r="B411" s="283"/>
      <c r="C411" s="283"/>
      <c r="D411" s="283"/>
      <c r="E411" s="283"/>
      <c r="F411" s="283"/>
    </row>
    <row r="412" spans="2:6" s="281" customFormat="1" ht="15.75">
      <c r="B412" s="283"/>
      <c r="C412" s="283"/>
      <c r="D412" s="283"/>
      <c r="E412" s="283"/>
      <c r="F412" s="283"/>
    </row>
    <row r="413" spans="2:6" s="281" customFormat="1" ht="15.75">
      <c r="B413" s="283"/>
      <c r="C413" s="283"/>
      <c r="D413" s="283"/>
      <c r="E413" s="283"/>
      <c r="F413" s="283"/>
    </row>
    <row r="414" spans="2:6" s="281" customFormat="1" ht="15.75">
      <c r="B414" s="283"/>
      <c r="C414" s="283"/>
      <c r="D414" s="283"/>
      <c r="E414" s="283"/>
      <c r="F414" s="283"/>
    </row>
    <row r="415" spans="2:6" s="281" customFormat="1" ht="15.75">
      <c r="B415" s="283"/>
      <c r="C415" s="283"/>
      <c r="D415" s="283"/>
      <c r="E415" s="283"/>
      <c r="F415" s="283"/>
    </row>
    <row r="416" spans="2:6" s="281" customFormat="1" ht="15.75">
      <c r="B416" s="283"/>
      <c r="C416" s="283"/>
      <c r="D416" s="283"/>
      <c r="E416" s="283"/>
      <c r="F416" s="283"/>
    </row>
    <row r="417" spans="2:6" s="281" customFormat="1" ht="15.75">
      <c r="B417" s="283"/>
      <c r="C417" s="283"/>
      <c r="D417" s="283"/>
      <c r="E417" s="283"/>
      <c r="F417" s="283"/>
    </row>
    <row r="418" spans="2:6" s="281" customFormat="1" ht="15.75">
      <c r="B418" s="283"/>
      <c r="C418" s="283"/>
      <c r="D418" s="283"/>
      <c r="E418" s="283"/>
      <c r="F418" s="283"/>
    </row>
    <row r="419" spans="2:6" s="281" customFormat="1" ht="15.75">
      <c r="B419" s="283"/>
      <c r="C419" s="283"/>
      <c r="D419" s="283"/>
      <c r="E419" s="283"/>
      <c r="F419" s="283"/>
    </row>
    <row r="420" spans="2:6" s="281" customFormat="1" ht="15.75">
      <c r="B420" s="283"/>
      <c r="C420" s="283"/>
      <c r="D420" s="283"/>
      <c r="E420" s="283"/>
      <c r="F420" s="283"/>
    </row>
    <row r="421" spans="2:6" s="281" customFormat="1" ht="15.75">
      <c r="B421" s="283"/>
      <c r="C421" s="283"/>
      <c r="D421" s="283"/>
      <c r="E421" s="283"/>
      <c r="F421" s="283"/>
    </row>
    <row r="422" spans="2:6" s="281" customFormat="1" ht="15.75">
      <c r="B422" s="283"/>
      <c r="C422" s="283"/>
      <c r="D422" s="283"/>
      <c r="E422" s="283"/>
      <c r="F422" s="283"/>
    </row>
    <row r="423" spans="2:6" s="281" customFormat="1" ht="15.75">
      <c r="B423" s="283"/>
      <c r="C423" s="283"/>
      <c r="D423" s="283"/>
      <c r="E423" s="283"/>
      <c r="F423" s="283"/>
    </row>
    <row r="424" spans="2:6" s="281" customFormat="1" ht="15.75">
      <c r="B424" s="283"/>
      <c r="C424" s="283"/>
      <c r="D424" s="283"/>
      <c r="E424" s="283"/>
      <c r="F424" s="283"/>
    </row>
    <row r="425" spans="2:6" s="281" customFormat="1" ht="15.75">
      <c r="B425" s="283"/>
      <c r="C425" s="283"/>
      <c r="D425" s="283"/>
      <c r="E425" s="283"/>
      <c r="F425" s="283"/>
    </row>
    <row r="426" spans="2:6" s="281" customFormat="1" ht="15.75">
      <c r="B426" s="283"/>
      <c r="C426" s="283"/>
      <c r="D426" s="283"/>
      <c r="E426" s="283"/>
      <c r="F426" s="283"/>
    </row>
    <row r="427" spans="2:6" s="281" customFormat="1" ht="15.75">
      <c r="B427" s="283"/>
      <c r="C427" s="283"/>
      <c r="D427" s="283"/>
      <c r="E427" s="283"/>
      <c r="F427" s="283"/>
    </row>
    <row r="428" spans="2:6" s="281" customFormat="1" ht="15.75">
      <c r="B428" s="283"/>
      <c r="C428" s="283"/>
      <c r="D428" s="283"/>
      <c r="E428" s="283"/>
      <c r="F428" s="283"/>
    </row>
    <row r="429" spans="2:6" s="281" customFormat="1" ht="15.75">
      <c r="B429" s="283"/>
      <c r="C429" s="283"/>
      <c r="D429" s="283"/>
      <c r="E429" s="283"/>
      <c r="F429" s="283"/>
    </row>
    <row r="430" spans="2:6" s="281" customFormat="1" ht="15.75">
      <c r="B430" s="283"/>
      <c r="C430" s="283"/>
      <c r="D430" s="283"/>
      <c r="E430" s="283"/>
      <c r="F430" s="283"/>
    </row>
    <row r="431" spans="2:6" s="281" customFormat="1" ht="15.75">
      <c r="B431" s="283"/>
      <c r="C431" s="283"/>
      <c r="D431" s="283"/>
      <c r="E431" s="283"/>
      <c r="F431" s="283"/>
    </row>
    <row r="432" spans="2:6" s="281" customFormat="1" ht="15.75">
      <c r="B432" s="283"/>
      <c r="C432" s="283"/>
      <c r="D432" s="283"/>
      <c r="E432" s="283"/>
      <c r="F432" s="283"/>
    </row>
    <row r="433" spans="2:6" s="281" customFormat="1" ht="15.75">
      <c r="B433" s="283"/>
      <c r="C433" s="283"/>
      <c r="D433" s="283"/>
      <c r="E433" s="283"/>
      <c r="F433" s="283"/>
    </row>
    <row r="434" spans="2:6" s="281" customFormat="1" ht="15.75">
      <c r="B434" s="283"/>
      <c r="C434" s="283"/>
      <c r="D434" s="283"/>
      <c r="E434" s="283"/>
      <c r="F434" s="283"/>
    </row>
    <row r="435" spans="2:6" s="281" customFormat="1" ht="15.75">
      <c r="B435" s="283"/>
      <c r="C435" s="283"/>
      <c r="D435" s="283"/>
      <c r="E435" s="283"/>
      <c r="F435" s="283"/>
    </row>
    <row r="436" spans="2:6" s="281" customFormat="1" ht="15.75">
      <c r="B436" s="283"/>
      <c r="C436" s="283"/>
      <c r="D436" s="283"/>
      <c r="E436" s="283"/>
      <c r="F436" s="283"/>
    </row>
    <row r="437" spans="2:6" s="281" customFormat="1" ht="15.75">
      <c r="B437" s="283"/>
      <c r="C437" s="283"/>
      <c r="D437" s="283"/>
      <c r="E437" s="283"/>
      <c r="F437" s="283"/>
    </row>
    <row r="438" spans="2:6" s="281" customFormat="1" ht="15.75">
      <c r="B438" s="283"/>
      <c r="C438" s="283"/>
      <c r="D438" s="283"/>
      <c r="E438" s="283"/>
      <c r="F438" s="283"/>
    </row>
    <row r="439" spans="2:6" s="281" customFormat="1" ht="15.75">
      <c r="B439" s="283"/>
      <c r="C439" s="283"/>
      <c r="D439" s="283"/>
      <c r="E439" s="283"/>
      <c r="F439" s="283"/>
    </row>
    <row r="440" spans="2:6" s="281" customFormat="1" ht="15.75">
      <c r="B440" s="283"/>
      <c r="C440" s="283"/>
      <c r="D440" s="283"/>
      <c r="E440" s="283"/>
      <c r="F440" s="283"/>
    </row>
    <row r="441" spans="2:6" s="281" customFormat="1" ht="15.75">
      <c r="B441" s="283"/>
      <c r="C441" s="283"/>
      <c r="D441" s="283"/>
      <c r="E441" s="283"/>
      <c r="F441" s="283"/>
    </row>
    <row r="442" spans="2:6" s="281" customFormat="1" ht="15.75">
      <c r="B442" s="283"/>
      <c r="C442" s="283"/>
      <c r="D442" s="283"/>
      <c r="E442" s="283"/>
      <c r="F442" s="283"/>
    </row>
    <row r="443" spans="2:6" s="281" customFormat="1" ht="15.75">
      <c r="B443" s="283"/>
      <c r="C443" s="283"/>
      <c r="D443" s="283"/>
      <c r="E443" s="283"/>
      <c r="F443" s="283"/>
    </row>
    <row r="444" spans="2:6" s="281" customFormat="1" ht="15.75">
      <c r="B444" s="283"/>
      <c r="C444" s="283"/>
      <c r="D444" s="283"/>
      <c r="E444" s="283"/>
      <c r="F444" s="283"/>
    </row>
    <row r="445" spans="2:6" s="281" customFormat="1" ht="15.75">
      <c r="B445" s="283"/>
      <c r="C445" s="283"/>
      <c r="D445" s="283"/>
      <c r="E445" s="283"/>
      <c r="F445" s="283"/>
    </row>
    <row r="446" spans="2:6" s="281" customFormat="1" ht="15.75">
      <c r="B446" s="283"/>
      <c r="C446" s="283"/>
      <c r="D446" s="283"/>
      <c r="E446" s="283"/>
      <c r="F446" s="283"/>
    </row>
    <row r="447" spans="2:6" s="281" customFormat="1" ht="15.75">
      <c r="B447" s="283"/>
      <c r="C447" s="283"/>
      <c r="D447" s="283"/>
      <c r="E447" s="283"/>
      <c r="F447" s="283"/>
    </row>
    <row r="448" spans="2:6" s="281" customFormat="1" ht="15.75">
      <c r="B448" s="283"/>
      <c r="C448" s="283"/>
      <c r="D448" s="283"/>
      <c r="E448" s="283"/>
      <c r="F448" s="283"/>
    </row>
    <row r="449" spans="2:6" s="281" customFormat="1" ht="15.75">
      <c r="B449" s="283"/>
      <c r="C449" s="283"/>
      <c r="D449" s="283"/>
      <c r="E449" s="283"/>
      <c r="F449" s="283"/>
    </row>
    <row r="450" spans="2:6" s="281" customFormat="1" ht="15.75">
      <c r="B450" s="283"/>
      <c r="C450" s="283"/>
      <c r="D450" s="283"/>
      <c r="E450" s="283"/>
      <c r="F450" s="283"/>
    </row>
    <row r="451" spans="2:6" s="281" customFormat="1" ht="15.75">
      <c r="B451" s="283"/>
      <c r="C451" s="283"/>
      <c r="D451" s="283"/>
      <c r="E451" s="283"/>
      <c r="F451" s="283"/>
    </row>
    <row r="452" spans="2:6" s="281" customFormat="1" ht="15.75">
      <c r="B452" s="283"/>
      <c r="C452" s="283"/>
      <c r="D452" s="283"/>
      <c r="E452" s="283"/>
      <c r="F452" s="283"/>
    </row>
    <row r="453" spans="2:6" s="281" customFormat="1" ht="15.75">
      <c r="B453" s="283"/>
      <c r="C453" s="283"/>
      <c r="D453" s="283"/>
      <c r="E453" s="283"/>
      <c r="F453" s="283"/>
    </row>
    <row r="454" spans="2:6" s="281" customFormat="1" ht="15.75">
      <c r="B454" s="283"/>
      <c r="C454" s="283"/>
      <c r="D454" s="283"/>
      <c r="E454" s="283"/>
      <c r="F454" s="283"/>
    </row>
    <row r="455" spans="2:6" s="281" customFormat="1" ht="15.75">
      <c r="B455" s="283"/>
      <c r="C455" s="283"/>
      <c r="D455" s="283"/>
      <c r="E455" s="283"/>
      <c r="F455" s="283"/>
    </row>
    <row r="456" spans="2:6" s="281" customFormat="1" ht="15.75">
      <c r="B456" s="283"/>
      <c r="C456" s="283"/>
      <c r="D456" s="283"/>
      <c r="E456" s="283"/>
      <c r="F456" s="283"/>
    </row>
    <row r="457" spans="2:6" s="281" customFormat="1" ht="15.75">
      <c r="B457" s="283"/>
      <c r="C457" s="283"/>
      <c r="D457" s="283"/>
      <c r="E457" s="283"/>
      <c r="F457" s="283"/>
    </row>
    <row r="458" spans="2:6" s="281" customFormat="1" ht="15.75">
      <c r="B458" s="283"/>
      <c r="C458" s="283"/>
      <c r="D458" s="283"/>
      <c r="E458" s="283"/>
      <c r="F458" s="283"/>
    </row>
    <row r="459" spans="2:6" s="281" customFormat="1" ht="15.75">
      <c r="B459" s="283"/>
      <c r="C459" s="283"/>
      <c r="D459" s="283"/>
      <c r="E459" s="283"/>
      <c r="F459" s="283"/>
    </row>
    <row r="460" spans="2:6" s="281" customFormat="1" ht="15.75">
      <c r="B460" s="283"/>
      <c r="C460" s="283"/>
      <c r="D460" s="283"/>
      <c r="E460" s="283"/>
      <c r="F460" s="283"/>
    </row>
    <row r="461" spans="2:6" s="281" customFormat="1" ht="15.75">
      <c r="B461" s="283"/>
      <c r="C461" s="283"/>
      <c r="D461" s="283"/>
      <c r="E461" s="283"/>
      <c r="F461" s="283"/>
    </row>
    <row r="462" spans="2:6" s="281" customFormat="1" ht="15.75">
      <c r="B462" s="283"/>
      <c r="C462" s="283"/>
      <c r="D462" s="283"/>
      <c r="E462" s="283"/>
      <c r="F462" s="283"/>
    </row>
    <row r="463" spans="2:24" s="281" customFormat="1" ht="15.75">
      <c r="B463" s="283"/>
      <c r="C463" s="283"/>
      <c r="D463" s="283"/>
      <c r="E463" s="283"/>
      <c r="F463" s="283"/>
      <c r="Q463" s="283"/>
      <c r="R463" s="283"/>
      <c r="S463" s="283"/>
      <c r="T463" s="283"/>
      <c r="U463" s="283"/>
      <c r="V463" s="283"/>
      <c r="W463" s="283"/>
      <c r="X463" s="283"/>
    </row>
    <row r="464" spans="2:24" s="281" customFormat="1" ht="15.75">
      <c r="B464" s="283"/>
      <c r="C464" s="283"/>
      <c r="D464" s="283"/>
      <c r="E464" s="283"/>
      <c r="F464" s="283"/>
      <c r="Q464" s="283"/>
      <c r="R464" s="283"/>
      <c r="S464" s="283"/>
      <c r="T464" s="283"/>
      <c r="U464" s="283"/>
      <c r="V464" s="283"/>
      <c r="W464" s="283"/>
      <c r="X464" s="283"/>
    </row>
    <row r="465" spans="2:24" s="281" customFormat="1" ht="15.75">
      <c r="B465" s="283"/>
      <c r="C465" s="283"/>
      <c r="D465" s="283"/>
      <c r="E465" s="283"/>
      <c r="F465" s="283"/>
      <c r="Q465" s="283"/>
      <c r="R465" s="283"/>
      <c r="S465" s="283"/>
      <c r="T465" s="283"/>
      <c r="U465" s="283"/>
      <c r="V465" s="283"/>
      <c r="W465" s="283"/>
      <c r="X465" s="283"/>
    </row>
    <row r="466" spans="2:24" s="281" customFormat="1" ht="15.75">
      <c r="B466" s="283"/>
      <c r="C466" s="283"/>
      <c r="D466" s="283"/>
      <c r="E466" s="283"/>
      <c r="F466" s="283"/>
      <c r="Q466" s="283"/>
      <c r="R466" s="283"/>
      <c r="S466" s="283"/>
      <c r="T466" s="283"/>
      <c r="U466" s="283"/>
      <c r="V466" s="283"/>
      <c r="W466" s="283"/>
      <c r="X466" s="283"/>
    </row>
    <row r="467" spans="2:28" s="281" customFormat="1" ht="15.75">
      <c r="B467" s="283"/>
      <c r="C467" s="283"/>
      <c r="D467" s="283"/>
      <c r="E467" s="283"/>
      <c r="F467" s="283"/>
      <c r="Q467" s="283"/>
      <c r="R467" s="283"/>
      <c r="S467" s="283"/>
      <c r="T467" s="283"/>
      <c r="U467" s="283"/>
      <c r="V467" s="283"/>
      <c r="W467" s="283"/>
      <c r="X467" s="283"/>
      <c r="Y467" s="283"/>
      <c r="Z467" s="283"/>
      <c r="AA467" s="283"/>
      <c r="AB467" s="283"/>
    </row>
    <row r="468" spans="2:28" s="281" customFormat="1" ht="15.75">
      <c r="B468" s="283"/>
      <c r="C468" s="283"/>
      <c r="D468" s="283"/>
      <c r="E468" s="283"/>
      <c r="F468" s="283"/>
      <c r="Q468" s="283"/>
      <c r="R468" s="283"/>
      <c r="S468" s="283"/>
      <c r="T468" s="283"/>
      <c r="U468" s="283"/>
      <c r="V468" s="283"/>
      <c r="W468" s="283"/>
      <c r="X468" s="283"/>
      <c r="Y468" s="283"/>
      <c r="Z468" s="283"/>
      <c r="AA468" s="283"/>
      <c r="AB468" s="283"/>
    </row>
    <row r="469" spans="2:28" s="281" customFormat="1" ht="15.75">
      <c r="B469" s="283"/>
      <c r="C469" s="283"/>
      <c r="D469" s="283"/>
      <c r="E469" s="283"/>
      <c r="F469" s="283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</row>
    <row r="470" spans="2:28" s="281" customFormat="1" ht="15.75">
      <c r="B470" s="283"/>
      <c r="C470" s="283"/>
      <c r="D470" s="283"/>
      <c r="E470" s="283"/>
      <c r="F470" s="283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</row>
    <row r="471" spans="2:28" s="281" customFormat="1" ht="15.75">
      <c r="B471" s="283"/>
      <c r="C471" s="283"/>
      <c r="D471" s="283"/>
      <c r="E471" s="283"/>
      <c r="F471" s="283"/>
      <c r="Q471" s="283"/>
      <c r="R471" s="283"/>
      <c r="S471" s="283"/>
      <c r="T471" s="283"/>
      <c r="U471" s="283"/>
      <c r="V471" s="283"/>
      <c r="W471" s="283"/>
      <c r="X471" s="283"/>
      <c r="Y471" s="283"/>
      <c r="Z471" s="283"/>
      <c r="AA471" s="283"/>
      <c r="AB471" s="283"/>
    </row>
    <row r="472" spans="2:28" s="281" customFormat="1" ht="12.75" customHeight="1">
      <c r="B472" s="283"/>
      <c r="C472" s="283"/>
      <c r="D472" s="283"/>
      <c r="E472" s="283"/>
      <c r="F472" s="283"/>
      <c r="Q472" s="283"/>
      <c r="R472" s="283"/>
      <c r="S472" s="283"/>
      <c r="T472" s="283"/>
      <c r="U472" s="283"/>
      <c r="V472" s="283"/>
      <c r="W472" s="283"/>
      <c r="X472" s="283"/>
      <c r="Y472" s="283"/>
      <c r="Z472" s="283"/>
      <c r="AA472" s="283"/>
      <c r="AB472" s="283"/>
    </row>
    <row r="473" spans="2:28" s="281" customFormat="1" ht="12.75" customHeight="1">
      <c r="B473" s="283"/>
      <c r="C473" s="283"/>
      <c r="D473" s="283"/>
      <c r="E473" s="283"/>
      <c r="F473" s="283"/>
      <c r="Q473" s="283"/>
      <c r="R473" s="283"/>
      <c r="S473" s="283"/>
      <c r="T473" s="283"/>
      <c r="U473" s="283"/>
      <c r="V473" s="283"/>
      <c r="W473" s="283"/>
      <c r="X473" s="283"/>
      <c r="Y473" s="283"/>
      <c r="Z473" s="283"/>
      <c r="AA473" s="283"/>
      <c r="AB473" s="283"/>
    </row>
    <row r="474" spans="2:128" s="281" customFormat="1" ht="12.75" customHeight="1">
      <c r="B474" s="283"/>
      <c r="C474" s="283"/>
      <c r="D474" s="283"/>
      <c r="E474" s="283"/>
      <c r="F474" s="283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DS474" s="283"/>
      <c r="DT474" s="283"/>
      <c r="DU474" s="283"/>
      <c r="DV474" s="283"/>
      <c r="DW474" s="283"/>
      <c r="DX474" s="283"/>
    </row>
    <row r="475" spans="2:128" s="281" customFormat="1" ht="12.75" customHeight="1">
      <c r="B475" s="283"/>
      <c r="C475" s="283"/>
      <c r="D475" s="283"/>
      <c r="E475" s="283"/>
      <c r="F475" s="283"/>
      <c r="H475" s="283"/>
      <c r="I475" s="283"/>
      <c r="J475" s="283"/>
      <c r="K475" s="283"/>
      <c r="L475" s="283"/>
      <c r="M475" s="283"/>
      <c r="N475" s="283"/>
      <c r="Q475" s="283"/>
      <c r="R475" s="283"/>
      <c r="S475" s="283"/>
      <c r="T475" s="283"/>
      <c r="U475" s="283"/>
      <c r="V475" s="283"/>
      <c r="W475" s="283"/>
      <c r="X475" s="283"/>
      <c r="Y475" s="283"/>
      <c r="Z475" s="283"/>
      <c r="AA475" s="283"/>
      <c r="AB475" s="283"/>
      <c r="AL475" s="283"/>
      <c r="AM475" s="283"/>
      <c r="AN475" s="283"/>
      <c r="AO475" s="283"/>
      <c r="AP475" s="283"/>
      <c r="AQ475" s="283"/>
      <c r="AR475" s="283"/>
      <c r="AS475" s="283"/>
      <c r="AT475" s="283"/>
      <c r="AU475" s="283"/>
      <c r="AW475" s="283"/>
      <c r="AX475" s="283"/>
      <c r="AY475" s="283"/>
      <c r="AZ475" s="283"/>
      <c r="BA475" s="283"/>
      <c r="BB475" s="283"/>
      <c r="BC475" s="283"/>
      <c r="BD475" s="283"/>
      <c r="BE475" s="283"/>
      <c r="BF475" s="283"/>
      <c r="DS475" s="283"/>
      <c r="DT475" s="283"/>
      <c r="DU475" s="283"/>
      <c r="DV475" s="283"/>
      <c r="DW475" s="283"/>
      <c r="DX475" s="283"/>
    </row>
    <row r="476" spans="2:128" s="281" customFormat="1" ht="12.75" customHeight="1">
      <c r="B476" s="283"/>
      <c r="C476" s="283"/>
      <c r="D476" s="283"/>
      <c r="E476" s="283"/>
      <c r="F476" s="283"/>
      <c r="H476" s="283"/>
      <c r="I476" s="283"/>
      <c r="J476" s="283"/>
      <c r="K476" s="283"/>
      <c r="L476" s="283"/>
      <c r="M476" s="283"/>
      <c r="N476" s="283"/>
      <c r="Q476" s="283"/>
      <c r="R476" s="283"/>
      <c r="S476" s="283"/>
      <c r="T476" s="283"/>
      <c r="U476" s="283"/>
      <c r="V476" s="283"/>
      <c r="W476" s="283"/>
      <c r="X476" s="283"/>
      <c r="Y476" s="283"/>
      <c r="Z476" s="283"/>
      <c r="AA476" s="283"/>
      <c r="AB476" s="283"/>
      <c r="AL476" s="283"/>
      <c r="AM476" s="283"/>
      <c r="AN476" s="283"/>
      <c r="AO476" s="283"/>
      <c r="AP476" s="283"/>
      <c r="AQ476" s="283"/>
      <c r="AR476" s="283"/>
      <c r="AS476" s="283"/>
      <c r="AT476" s="283"/>
      <c r="AU476" s="283"/>
      <c r="AW476" s="283"/>
      <c r="AX476" s="283"/>
      <c r="AY476" s="283"/>
      <c r="AZ476" s="283"/>
      <c r="BA476" s="283"/>
      <c r="BB476" s="283"/>
      <c r="BC476" s="283"/>
      <c r="BD476" s="283"/>
      <c r="BE476" s="283"/>
      <c r="BF476" s="283"/>
      <c r="BG476" s="283"/>
      <c r="DS476" s="283"/>
      <c r="DT476" s="283"/>
      <c r="DU476" s="283"/>
      <c r="DV476" s="283"/>
      <c r="DW476" s="283"/>
      <c r="DX476" s="283"/>
    </row>
    <row r="477" spans="2:128" s="281" customFormat="1" ht="12.75" customHeight="1">
      <c r="B477" s="283"/>
      <c r="C477" s="283"/>
      <c r="D477" s="283"/>
      <c r="E477" s="283"/>
      <c r="F477" s="283"/>
      <c r="H477" s="283"/>
      <c r="I477" s="283"/>
      <c r="J477" s="283"/>
      <c r="K477" s="283"/>
      <c r="L477" s="283"/>
      <c r="M477" s="283"/>
      <c r="N477" s="283"/>
      <c r="Q477" s="283"/>
      <c r="R477" s="283"/>
      <c r="S477" s="283"/>
      <c r="T477" s="283"/>
      <c r="U477" s="283"/>
      <c r="V477" s="283"/>
      <c r="W477" s="283"/>
      <c r="X477" s="283"/>
      <c r="Y477" s="283"/>
      <c r="Z477" s="283"/>
      <c r="AA477" s="283"/>
      <c r="AB477" s="283"/>
      <c r="AE477" s="283"/>
      <c r="AF477" s="283"/>
      <c r="AG477" s="283"/>
      <c r="AH477" s="283"/>
      <c r="AI477" s="283"/>
      <c r="AL477" s="283"/>
      <c r="AM477" s="283"/>
      <c r="AN477" s="283"/>
      <c r="AO477" s="283"/>
      <c r="AP477" s="283"/>
      <c r="AQ477" s="283"/>
      <c r="AR477" s="283"/>
      <c r="AS477" s="283"/>
      <c r="AT477" s="283"/>
      <c r="AU477" s="283"/>
      <c r="AW477" s="283"/>
      <c r="AX477" s="283"/>
      <c r="AY477" s="283"/>
      <c r="AZ477" s="283"/>
      <c r="BA477" s="283"/>
      <c r="BB477" s="283"/>
      <c r="BC477" s="283"/>
      <c r="BD477" s="283"/>
      <c r="BE477" s="283"/>
      <c r="BF477" s="283"/>
      <c r="BG477" s="283"/>
      <c r="DS477" s="283"/>
      <c r="DT477" s="283"/>
      <c r="DU477" s="283"/>
      <c r="DV477" s="283"/>
      <c r="DW477" s="283"/>
      <c r="DX477" s="283"/>
    </row>
    <row r="478" spans="2:228" s="281" customFormat="1" ht="12.75" customHeight="1">
      <c r="B478" s="283"/>
      <c r="C478" s="283"/>
      <c r="D478" s="283"/>
      <c r="E478" s="283"/>
      <c r="F478" s="283"/>
      <c r="H478" s="283"/>
      <c r="I478" s="283"/>
      <c r="J478" s="283"/>
      <c r="K478" s="283"/>
      <c r="L478" s="283"/>
      <c r="M478" s="283"/>
      <c r="N478" s="283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E478" s="283"/>
      <c r="AF478" s="283"/>
      <c r="AG478" s="283"/>
      <c r="AH478" s="283"/>
      <c r="AI478" s="283"/>
      <c r="AL478" s="283"/>
      <c r="AM478" s="283"/>
      <c r="AN478" s="283"/>
      <c r="AO478" s="283"/>
      <c r="AP478" s="283"/>
      <c r="AQ478" s="283"/>
      <c r="AR478" s="283"/>
      <c r="AS478" s="283"/>
      <c r="AT478" s="283"/>
      <c r="AU478" s="283"/>
      <c r="AW478" s="283"/>
      <c r="AX478" s="283"/>
      <c r="AY478" s="283"/>
      <c r="AZ478" s="283"/>
      <c r="BA478" s="283"/>
      <c r="BB478" s="283"/>
      <c r="BC478" s="283"/>
      <c r="BD478" s="283"/>
      <c r="BE478" s="283"/>
      <c r="BF478" s="283"/>
      <c r="BG478" s="283"/>
      <c r="CD478" s="283"/>
      <c r="CE478" s="283"/>
      <c r="CF478" s="283"/>
      <c r="CG478" s="283"/>
      <c r="CH478" s="283"/>
      <c r="CI478" s="283"/>
      <c r="CJ478" s="283"/>
      <c r="CK478" s="283"/>
      <c r="CL478" s="283"/>
      <c r="CM478" s="283"/>
      <c r="CN478" s="283"/>
      <c r="CO478" s="283"/>
      <c r="DS478" s="283"/>
      <c r="DT478" s="283"/>
      <c r="DU478" s="283"/>
      <c r="DV478" s="283"/>
      <c r="DW478" s="283"/>
      <c r="DX478" s="283"/>
      <c r="HP478" s="283"/>
      <c r="HQ478" s="283"/>
      <c r="HR478" s="283"/>
      <c r="HS478" s="283"/>
      <c r="HT478" s="283"/>
    </row>
    <row r="479" spans="2:228" s="281" customFormat="1" ht="12.75" customHeight="1">
      <c r="B479" s="283"/>
      <c r="C479" s="283"/>
      <c r="D479" s="283"/>
      <c r="E479" s="283"/>
      <c r="F479" s="283"/>
      <c r="H479" s="283"/>
      <c r="I479" s="283"/>
      <c r="J479" s="283"/>
      <c r="K479" s="283"/>
      <c r="L479" s="283"/>
      <c r="M479" s="283"/>
      <c r="N479" s="283"/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E479" s="283"/>
      <c r="AF479" s="283"/>
      <c r="AG479" s="283"/>
      <c r="AH479" s="283"/>
      <c r="AI479" s="283"/>
      <c r="AL479" s="283"/>
      <c r="AM479" s="283"/>
      <c r="AN479" s="283"/>
      <c r="AO479" s="283"/>
      <c r="AP479" s="283"/>
      <c r="AQ479" s="283"/>
      <c r="AR479" s="283"/>
      <c r="AS479" s="283"/>
      <c r="AT479" s="283"/>
      <c r="AU479" s="283"/>
      <c r="AW479" s="283"/>
      <c r="AX479" s="283"/>
      <c r="AY479" s="283"/>
      <c r="AZ479" s="283"/>
      <c r="BA479" s="283"/>
      <c r="BB479" s="283"/>
      <c r="BC479" s="283"/>
      <c r="BD479" s="283"/>
      <c r="BE479" s="283"/>
      <c r="BF479" s="283"/>
      <c r="BG479" s="283"/>
      <c r="CB479" s="283"/>
      <c r="CD479" s="283"/>
      <c r="CE479" s="283"/>
      <c r="CF479" s="283"/>
      <c r="CG479" s="283"/>
      <c r="CH479" s="283"/>
      <c r="CI479" s="283"/>
      <c r="CJ479" s="283"/>
      <c r="CK479" s="283"/>
      <c r="CL479" s="283"/>
      <c r="CM479" s="283"/>
      <c r="CN479" s="283"/>
      <c r="CO479" s="283"/>
      <c r="DS479" s="283"/>
      <c r="DT479" s="283"/>
      <c r="DU479" s="283"/>
      <c r="DV479" s="283"/>
      <c r="DW479" s="283"/>
      <c r="DX479" s="283"/>
      <c r="EP479" s="283"/>
      <c r="EQ479" s="283"/>
      <c r="ER479" s="283"/>
      <c r="ES479" s="283"/>
      <c r="ET479" s="283"/>
      <c r="EU479" s="283"/>
      <c r="EV479" s="283"/>
      <c r="EW479" s="283"/>
      <c r="EX479" s="283"/>
      <c r="HP479" s="283"/>
      <c r="HQ479" s="283"/>
      <c r="HR479" s="283"/>
      <c r="HS479" s="283"/>
      <c r="HT479" s="283"/>
    </row>
    <row r="480" spans="61:221" ht="15.75">
      <c r="BI480" s="281"/>
      <c r="BJ480" s="281"/>
      <c r="BK480" s="281"/>
      <c r="BL480" s="281"/>
      <c r="BM480" s="281"/>
      <c r="BN480" s="281"/>
      <c r="BQ480" s="281"/>
      <c r="BR480" s="281"/>
      <c r="BS480" s="281"/>
      <c r="BT480" s="281"/>
      <c r="BU480" s="281"/>
      <c r="BV480" s="281"/>
      <c r="BW480" s="281"/>
      <c r="BX480" s="281"/>
      <c r="BY480" s="281"/>
      <c r="BZ480" s="281"/>
      <c r="CA480" s="281"/>
      <c r="HJ480" s="281"/>
      <c r="HK480" s="281"/>
      <c r="HL480" s="281"/>
      <c r="HM480" s="281"/>
    </row>
    <row r="481" spans="61:221" ht="15.75">
      <c r="BI481" s="281"/>
      <c r="BJ481" s="281"/>
      <c r="BK481" s="281"/>
      <c r="BL481" s="281"/>
      <c r="BM481" s="281"/>
      <c r="BN481" s="281"/>
      <c r="HJ481" s="281"/>
      <c r="HK481" s="281"/>
      <c r="HL481" s="281"/>
      <c r="HM481" s="281"/>
    </row>
    <row r="482" spans="61:221" ht="15.75">
      <c r="BI482" s="281"/>
      <c r="BJ482" s="281"/>
      <c r="BK482" s="281"/>
      <c r="BL482" s="281"/>
      <c r="BM482" s="281"/>
      <c r="BN482" s="281"/>
      <c r="HJ482" s="281"/>
      <c r="HK482" s="281"/>
      <c r="HL482" s="281"/>
      <c r="HM482" s="281"/>
    </row>
    <row r="483" spans="61:66" ht="15.75">
      <c r="BI483" s="281"/>
      <c r="BJ483" s="281"/>
      <c r="BK483" s="281"/>
      <c r="BL483" s="281"/>
      <c r="BM483" s="281"/>
      <c r="BN483" s="281"/>
    </row>
    <row r="484" spans="61:66" ht="15.75">
      <c r="BI484" s="281"/>
      <c r="BJ484" s="281"/>
      <c r="BK484" s="281"/>
      <c r="BL484" s="281"/>
      <c r="BM484" s="281"/>
      <c r="BN484" s="281"/>
    </row>
    <row r="485" spans="61:66" ht="15.75">
      <c r="BI485" s="281"/>
      <c r="BJ485" s="281"/>
      <c r="BK485" s="281"/>
      <c r="BL485" s="281"/>
      <c r="BM485" s="281"/>
      <c r="BN485" s="281"/>
    </row>
    <row r="486" spans="61:66" ht="15.75">
      <c r="BI486" s="281"/>
      <c r="BJ486" s="281"/>
      <c r="BK486" s="281"/>
      <c r="BL486" s="281"/>
      <c r="BM486" s="281"/>
      <c r="BN486" s="281"/>
    </row>
    <row r="487" spans="61:66" ht="15.75">
      <c r="BI487" s="281"/>
      <c r="BJ487" s="281"/>
      <c r="BK487" s="281"/>
      <c r="BL487" s="281"/>
      <c r="BM487" s="281"/>
      <c r="BN487" s="281"/>
    </row>
    <row r="488" spans="61:66" ht="15.75">
      <c r="BI488" s="281"/>
      <c r="BJ488" s="281"/>
      <c r="BK488" s="281"/>
      <c r="BL488" s="281"/>
      <c r="BM488" s="281"/>
      <c r="BN488" s="281"/>
    </row>
    <row r="489" spans="61:66" ht="15.75">
      <c r="BI489" s="281"/>
      <c r="BJ489" s="281"/>
      <c r="BK489" s="281"/>
      <c r="BL489" s="281"/>
      <c r="BM489" s="281"/>
      <c r="BN489" s="281"/>
    </row>
  </sheetData>
  <sheetProtection/>
  <mergeCells count="75">
    <mergeCell ref="CD45:CK45"/>
    <mergeCell ref="CR46:CV46"/>
    <mergeCell ref="HJ49:HM49"/>
    <mergeCell ref="EP34:EX34"/>
    <mergeCell ref="HP42:HT42"/>
    <mergeCell ref="BQ44:CA44"/>
    <mergeCell ref="CD44:CN44"/>
    <mergeCell ref="CR39:CV39"/>
    <mergeCell ref="CX39:DG39"/>
    <mergeCell ref="Q32:AB32"/>
    <mergeCell ref="AL46:AU46"/>
    <mergeCell ref="AW41:BF41"/>
    <mergeCell ref="BI42:BN42"/>
    <mergeCell ref="Q37:V37"/>
    <mergeCell ref="BI46:BN46"/>
    <mergeCell ref="FZ3:GI3"/>
    <mergeCell ref="CR3:CV3"/>
    <mergeCell ref="CX46:DD46"/>
    <mergeCell ref="DK46:DQ46"/>
    <mergeCell ref="CZ23:DG23"/>
    <mergeCell ref="DK3:DP3"/>
    <mergeCell ref="DK39:DP39"/>
    <mergeCell ref="FN3:FX3"/>
    <mergeCell ref="FN16:FX16"/>
    <mergeCell ref="DS45:DX45"/>
    <mergeCell ref="HJ3:HM3"/>
    <mergeCell ref="HJ4:HM4"/>
    <mergeCell ref="FB15:FL15"/>
    <mergeCell ref="EJ4:EN4"/>
    <mergeCell ref="EJ3:EN3"/>
    <mergeCell ref="B24:F24"/>
    <mergeCell ref="W6:Y6"/>
    <mergeCell ref="CD3:CN3"/>
    <mergeCell ref="T6:V6"/>
    <mergeCell ref="P3:AB3"/>
    <mergeCell ref="B107:F107"/>
    <mergeCell ref="H43:N43"/>
    <mergeCell ref="AE45:AI45"/>
    <mergeCell ref="B56:F56"/>
    <mergeCell ref="B52:F52"/>
    <mergeCell ref="H46:N46"/>
    <mergeCell ref="B43:F43"/>
    <mergeCell ref="BQ3:CA3"/>
    <mergeCell ref="Z6:AB6"/>
    <mergeCell ref="BI3:BN3"/>
    <mergeCell ref="AL3:AU3"/>
    <mergeCell ref="BI2:BN2"/>
    <mergeCell ref="C27:E27"/>
    <mergeCell ref="H26:N26"/>
    <mergeCell ref="B3:F3"/>
    <mergeCell ref="B2:F2"/>
    <mergeCell ref="B23:F23"/>
    <mergeCell ref="P2:AB2"/>
    <mergeCell ref="H3:N3"/>
    <mergeCell ref="AL2:AR2"/>
    <mergeCell ref="H2:N2"/>
    <mergeCell ref="AE2:AI2"/>
    <mergeCell ref="C6:E6"/>
    <mergeCell ref="AE3:AI3"/>
    <mergeCell ref="HP4:HT4"/>
    <mergeCell ref="BQ2:BX2"/>
    <mergeCell ref="DS3:DX3"/>
    <mergeCell ref="DZ3:EE3"/>
    <mergeCell ref="CX3:DG3"/>
    <mergeCell ref="CR2:CV2"/>
    <mergeCell ref="DK2:DP2"/>
    <mergeCell ref="DS2:DX2"/>
    <mergeCell ref="FB3:FL3"/>
    <mergeCell ref="CD2:CK2"/>
    <mergeCell ref="FZ2:GI2"/>
    <mergeCell ref="EP2:EX2"/>
    <mergeCell ref="FN2:FX2"/>
    <mergeCell ref="FB2:FL2"/>
    <mergeCell ref="EJ2:EN2"/>
    <mergeCell ref="DZ2:EE2"/>
  </mergeCells>
  <printOptions horizontalCentered="1"/>
  <pageMargins left="0.5" right="0.5" top="0.75" bottom="0.5" header="0.5" footer="0.25"/>
  <pageSetup fitToHeight="1" fitToWidth="1" horizontalDpi="300" verticalDpi="300" orientation="portrait" paperSize="9" scale="91" r:id="rId4"/>
  <headerFooter alignWithMargins="0">
    <oddHeader>&amp;C&amp;"Arial,Bold"&amp;12
&amp;"Arial,Regular"&amp;10
&amp;R&amp;"Arial Black,Bold"Blue Chip</oddHeader>
    <oddFooter>&amp;C&amp;"Arial Black,Regular"Page 37</oddFooter>
  </headerFooter>
  <rowBreaks count="1" manualBreakCount="1">
    <brk id="34" max="255" man="1"/>
  </rowBreaks>
  <colBreaks count="1" manualBreakCount="1">
    <brk id="147" max="65535" man="1"/>
  </col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showGridLines="0" zoomScalePageLayoutView="0" workbookViewId="0" topLeftCell="AG1">
      <selection activeCell="AN9" sqref="AN9"/>
    </sheetView>
  </sheetViews>
  <sheetFormatPr defaultColWidth="9.140625" defaultRowHeight="12.75"/>
  <cols>
    <col min="1" max="2" width="9.140625" style="147" customWidth="1"/>
    <col min="3" max="3" width="8.7109375" style="147" customWidth="1"/>
    <col min="4" max="4" width="30.7109375" style="147" customWidth="1"/>
    <col min="5" max="7" width="10.7109375" style="147" customWidth="1"/>
    <col min="8" max="9" width="9.140625" style="147" customWidth="1"/>
    <col min="10" max="10" width="5.7109375" style="147" customWidth="1"/>
    <col min="11" max="11" width="30.7109375" style="147" customWidth="1"/>
    <col min="12" max="20" width="10.7109375" style="147" customWidth="1"/>
    <col min="21" max="21" width="9.140625" style="147" customWidth="1"/>
    <col min="22" max="22" width="5.7109375" style="147" customWidth="1"/>
    <col min="23" max="23" width="30.7109375" style="147" customWidth="1"/>
    <col min="24" max="32" width="10.7109375" style="147" customWidth="1"/>
    <col min="33" max="38" width="9.140625" style="147" customWidth="1"/>
    <col min="39" max="39" width="30.7109375" style="147" customWidth="1"/>
    <col min="40" max="48" width="10.7109375" style="147" customWidth="1"/>
    <col min="49" max="16384" width="9.140625" style="147" customWidth="1"/>
  </cols>
  <sheetData>
    <row r="1" spans="1:49" ht="12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187"/>
    </row>
    <row r="2" spans="1:49" ht="12.75">
      <c r="A2" s="238"/>
      <c r="B2" s="238"/>
      <c r="C2" s="521"/>
      <c r="D2" s="521"/>
      <c r="E2" s="521"/>
      <c r="F2" s="521"/>
      <c r="G2" s="521"/>
      <c r="H2" s="238"/>
      <c r="I2" s="238"/>
      <c r="J2" s="521"/>
      <c r="K2" s="521"/>
      <c r="L2" s="521"/>
      <c r="M2" s="521"/>
      <c r="N2" s="521"/>
      <c r="O2" s="521"/>
      <c r="P2" s="521"/>
      <c r="Q2" s="344"/>
      <c r="R2" s="344"/>
      <c r="S2" s="344"/>
      <c r="T2" s="344"/>
      <c r="U2" s="238"/>
      <c r="V2" s="238"/>
      <c r="W2" s="238"/>
      <c r="X2" s="354" t="str">
        <f>L7</f>
        <v>2010-11</v>
      </c>
      <c r="Y2" s="354" t="str">
        <f aca="true" t="shared" si="0" ref="Y2:AF2">M7</f>
        <v>2011-12</v>
      </c>
      <c r="Z2" s="354" t="str">
        <f t="shared" si="0"/>
        <v>2012-13</v>
      </c>
      <c r="AA2" s="354" t="str">
        <f t="shared" si="0"/>
        <v>2013-14</v>
      </c>
      <c r="AB2" s="354" t="str">
        <f t="shared" si="0"/>
        <v>2014-15</v>
      </c>
      <c r="AC2" s="354" t="str">
        <f t="shared" si="0"/>
        <v>2015-16</v>
      </c>
      <c r="AD2" s="354" t="str">
        <f t="shared" si="0"/>
        <v>2016-17</v>
      </c>
      <c r="AE2" s="354" t="str">
        <f t="shared" si="0"/>
        <v>2017-18</v>
      </c>
      <c r="AF2" s="354" t="str">
        <f t="shared" si="0"/>
        <v>2018-19</v>
      </c>
      <c r="AG2" s="238"/>
      <c r="AH2" s="238"/>
      <c r="AI2" s="238"/>
      <c r="AJ2" s="238"/>
      <c r="AK2" s="238"/>
      <c r="AL2" s="521"/>
      <c r="AM2" s="521"/>
      <c r="AN2" s="521"/>
      <c r="AO2" s="521"/>
      <c r="AP2" s="521"/>
      <c r="AQ2" s="521"/>
      <c r="AR2" s="521"/>
      <c r="AS2" s="344"/>
      <c r="AT2" s="344"/>
      <c r="AU2" s="344"/>
      <c r="AV2" s="344"/>
      <c r="AW2" s="187"/>
    </row>
    <row r="3" spans="1:49" ht="12.75">
      <c r="A3" s="238"/>
      <c r="B3" s="238"/>
      <c r="C3" s="521" t="s">
        <v>75</v>
      </c>
      <c r="D3" s="521"/>
      <c r="E3" s="521"/>
      <c r="F3" s="521"/>
      <c r="G3" s="521"/>
      <c r="H3" s="238"/>
      <c r="I3" s="238"/>
      <c r="J3" s="521" t="s">
        <v>10</v>
      </c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238"/>
      <c r="V3" s="240" t="s">
        <v>11</v>
      </c>
      <c r="W3" s="240" t="s">
        <v>12</v>
      </c>
      <c r="X3" s="355">
        <f aca="true" t="shared" si="1" ref="X3:AF3">L43</f>
        <v>7.886441804943701</v>
      </c>
      <c r="Y3" s="355">
        <f t="shared" si="1"/>
        <v>9.853055629568754</v>
      </c>
      <c r="Z3" s="355">
        <f t="shared" si="1"/>
        <v>11.97284072457471</v>
      </c>
      <c r="AA3" s="355">
        <f t="shared" si="1"/>
        <v>13.073101155129898</v>
      </c>
      <c r="AB3" s="355">
        <f t="shared" si="1"/>
        <v>14.198184529342996</v>
      </c>
      <c r="AC3" s="355">
        <f t="shared" si="1"/>
        <v>15.349108742279844</v>
      </c>
      <c r="AD3" s="355">
        <f t="shared" si="1"/>
        <v>16.526864320245167</v>
      </c>
      <c r="AE3" s="355">
        <f t="shared" si="1"/>
        <v>17.620470707397892</v>
      </c>
      <c r="AF3" s="355">
        <f t="shared" si="1"/>
        <v>2.7453623912147354</v>
      </c>
      <c r="AG3" s="356"/>
      <c r="AH3" s="238"/>
      <c r="AI3" s="238"/>
      <c r="AJ3" s="238"/>
      <c r="AK3" s="238"/>
      <c r="AL3" s="521" t="s">
        <v>15</v>
      </c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187"/>
    </row>
    <row r="4" spans="1:49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47"/>
      <c r="W4" s="247"/>
      <c r="X4" s="248"/>
      <c r="Y4" s="248"/>
      <c r="Z4" s="248"/>
      <c r="AA4" s="248"/>
      <c r="AB4" s="248"/>
      <c r="AC4" s="248"/>
      <c r="AD4" s="248"/>
      <c r="AE4" s="248"/>
      <c r="AF4" s="248"/>
      <c r="AG4" s="356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87"/>
    </row>
    <row r="5" spans="1:49" ht="12.75">
      <c r="A5" s="238"/>
      <c r="B5" s="238"/>
      <c r="C5" s="238"/>
      <c r="D5" s="238"/>
      <c r="E5" s="238"/>
      <c r="F5" s="238"/>
      <c r="G5" s="239" t="s">
        <v>563</v>
      </c>
      <c r="H5" s="238"/>
      <c r="I5" s="238"/>
      <c r="J5" s="238"/>
      <c r="K5" s="238"/>
      <c r="L5" s="357"/>
      <c r="M5" s="357"/>
      <c r="N5" s="357"/>
      <c r="O5" s="357"/>
      <c r="P5" s="357"/>
      <c r="Q5" s="357"/>
      <c r="R5" s="357"/>
      <c r="S5" s="357"/>
      <c r="T5" s="357"/>
      <c r="U5" s="238"/>
      <c r="V5" s="247" t="s">
        <v>25</v>
      </c>
      <c r="W5" s="247" t="s">
        <v>26</v>
      </c>
      <c r="X5" s="248">
        <f>+Expansion!AY5+Existing!Y5</f>
        <v>1.6450369194151115</v>
      </c>
      <c r="Y5" s="248">
        <f>+Expansion!AZ5+Existing!Z5</f>
        <v>2.2195787704742416</v>
      </c>
      <c r="Z5" s="248">
        <f>+Expansion!BA5+Existing!AA5</f>
        <v>2.820461941818583</v>
      </c>
      <c r="AA5" s="248">
        <f>+Expansion!BB5+Existing!AB5</f>
        <v>3.147996023610142</v>
      </c>
      <c r="AB5" s="248">
        <f>+Expansion!BC5+Existing!AC5</f>
        <v>3.468478444054487</v>
      </c>
      <c r="AC5" s="248">
        <f>+Expansion!BD5+Existing!AD5</f>
        <v>3.8386270609238444</v>
      </c>
      <c r="AD5" s="248">
        <f>+Expansion!BE5+Existing!AE5</f>
        <v>4.158064927645914</v>
      </c>
      <c r="AE5" s="248">
        <f>+Expansion!BF5+Existing!AF5</f>
        <v>4.444343177436482</v>
      </c>
      <c r="AF5" s="248">
        <f>+Expansion!BG5+Existing!AG5</f>
        <v>0.8483169788853532</v>
      </c>
      <c r="AG5" s="356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187"/>
    </row>
    <row r="6" spans="1:49" ht="12.75">
      <c r="A6" s="238"/>
      <c r="B6" s="238"/>
      <c r="C6" s="240" t="s">
        <v>31</v>
      </c>
      <c r="D6" s="240"/>
      <c r="E6" s="241"/>
      <c r="F6" s="240"/>
      <c r="G6" s="240"/>
      <c r="H6" s="238"/>
      <c r="I6" s="238"/>
      <c r="J6" s="240" t="s">
        <v>31</v>
      </c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38"/>
      <c r="V6" s="247"/>
      <c r="W6" s="247"/>
      <c r="X6" s="248"/>
      <c r="Y6" s="248"/>
      <c r="Z6" s="248"/>
      <c r="AA6" s="248"/>
      <c r="AB6" s="248"/>
      <c r="AC6" s="248"/>
      <c r="AD6" s="248"/>
      <c r="AE6" s="248"/>
      <c r="AF6" s="248"/>
      <c r="AG6" s="356"/>
      <c r="AH6" s="238"/>
      <c r="AI6" s="238"/>
      <c r="AJ6" s="238"/>
      <c r="AK6" s="238"/>
      <c r="AL6" s="240" t="s">
        <v>37</v>
      </c>
      <c r="AM6" s="240"/>
      <c r="AN6" s="241"/>
      <c r="AO6" s="240"/>
      <c r="AP6" s="240"/>
      <c r="AQ6" s="240"/>
      <c r="AR6" s="240"/>
      <c r="AS6" s="240"/>
      <c r="AT6" s="240"/>
      <c r="AU6" s="240"/>
      <c r="AV6" s="240"/>
      <c r="AW6" s="187"/>
    </row>
    <row r="7" spans="1:49" ht="12.75">
      <c r="A7" s="238"/>
      <c r="B7" s="238"/>
      <c r="C7" s="242" t="s">
        <v>46</v>
      </c>
      <c r="D7" s="242" t="s">
        <v>29</v>
      </c>
      <c r="E7" s="243" t="str">
        <f>+L7</f>
        <v>2010-11</v>
      </c>
      <c r="F7" s="243" t="str">
        <f>+M7</f>
        <v>2011-12</v>
      </c>
      <c r="G7" s="243" t="str">
        <f>+N7</f>
        <v>2012-13</v>
      </c>
      <c r="H7" s="238"/>
      <c r="I7" s="238"/>
      <c r="J7" s="242" t="s">
        <v>46</v>
      </c>
      <c r="K7" s="253" t="s">
        <v>29</v>
      </c>
      <c r="L7" s="243" t="str">
        <f>Existing!BA7</f>
        <v>2010-11</v>
      </c>
      <c r="M7" s="243" t="str">
        <f>Existing!BB7</f>
        <v>2011-12</v>
      </c>
      <c r="N7" s="243" t="str">
        <f>Existing!BC7</f>
        <v>2012-13</v>
      </c>
      <c r="O7" s="243" t="str">
        <f>Existing!BD7</f>
        <v>2013-14</v>
      </c>
      <c r="P7" s="243" t="str">
        <f>Existing!BE7</f>
        <v>2014-15</v>
      </c>
      <c r="Q7" s="243" t="str">
        <f>Existing!BF7</f>
        <v>2015-16</v>
      </c>
      <c r="R7" s="243" t="str">
        <f>Existing!BG7</f>
        <v>2016-17</v>
      </c>
      <c r="S7" s="243" t="str">
        <f>Existing!BH7</f>
        <v>2017-18</v>
      </c>
      <c r="T7" s="243" t="str">
        <f>Existing!BI7</f>
        <v>2018-19</v>
      </c>
      <c r="U7" s="238"/>
      <c r="V7" s="247" t="s">
        <v>52</v>
      </c>
      <c r="W7" s="247" t="s">
        <v>53</v>
      </c>
      <c r="X7" s="248">
        <f aca="true" t="shared" si="2" ref="X7:AF7">+X3-X5</f>
        <v>6.241404885528589</v>
      </c>
      <c r="Y7" s="248">
        <f t="shared" si="2"/>
        <v>7.633476859094513</v>
      </c>
      <c r="Z7" s="248">
        <f t="shared" si="2"/>
        <v>9.152378782756127</v>
      </c>
      <c r="AA7" s="248">
        <f t="shared" si="2"/>
        <v>9.925105131519755</v>
      </c>
      <c r="AB7" s="248">
        <f t="shared" si="2"/>
        <v>10.729706085288509</v>
      </c>
      <c r="AC7" s="248">
        <f t="shared" si="2"/>
        <v>11.510481681356</v>
      </c>
      <c r="AD7" s="248">
        <f t="shared" si="2"/>
        <v>12.368799392599254</v>
      </c>
      <c r="AE7" s="248">
        <f t="shared" si="2"/>
        <v>13.17612752996141</v>
      </c>
      <c r="AF7" s="248">
        <f t="shared" si="2"/>
        <v>1.897045412329382</v>
      </c>
      <c r="AG7" s="356"/>
      <c r="AH7" s="238"/>
      <c r="AI7" s="238"/>
      <c r="AJ7" s="238"/>
      <c r="AK7" s="238"/>
      <c r="AL7" s="242" t="s">
        <v>46</v>
      </c>
      <c r="AM7" s="242" t="s">
        <v>29</v>
      </c>
      <c r="AN7" s="243" t="str">
        <f aca="true" t="shared" si="3" ref="AN7:AV7">+L7</f>
        <v>2010-11</v>
      </c>
      <c r="AO7" s="243" t="str">
        <f t="shared" si="3"/>
        <v>2011-12</v>
      </c>
      <c r="AP7" s="243" t="str">
        <f t="shared" si="3"/>
        <v>2012-13</v>
      </c>
      <c r="AQ7" s="243" t="str">
        <f t="shared" si="3"/>
        <v>2013-14</v>
      </c>
      <c r="AR7" s="243" t="str">
        <f t="shared" si="3"/>
        <v>2014-15</v>
      </c>
      <c r="AS7" s="243" t="str">
        <f t="shared" si="3"/>
        <v>2015-16</v>
      </c>
      <c r="AT7" s="243" t="str">
        <f t="shared" si="3"/>
        <v>2016-17</v>
      </c>
      <c r="AU7" s="243" t="str">
        <f t="shared" si="3"/>
        <v>2017-18</v>
      </c>
      <c r="AV7" s="243" t="str">
        <f t="shared" si="3"/>
        <v>2018-19</v>
      </c>
      <c r="AW7" s="187"/>
    </row>
    <row r="8" spans="1:49" ht="12.75">
      <c r="A8" s="238"/>
      <c r="B8" s="238"/>
      <c r="C8" s="244"/>
      <c r="D8" s="242" t="s">
        <v>226</v>
      </c>
      <c r="E8" s="245"/>
      <c r="F8" s="245"/>
      <c r="G8" s="245"/>
      <c r="H8" s="238"/>
      <c r="I8" s="238"/>
      <c r="J8" s="247"/>
      <c r="K8" s="247"/>
      <c r="L8" s="248"/>
      <c r="M8" s="248"/>
      <c r="N8" s="248"/>
      <c r="O8" s="248"/>
      <c r="P8" s="248"/>
      <c r="Q8" s="248"/>
      <c r="R8" s="248"/>
      <c r="S8" s="248"/>
      <c r="T8" s="248"/>
      <c r="U8" s="238"/>
      <c r="V8" s="247"/>
      <c r="W8" s="247"/>
      <c r="X8" s="248"/>
      <c r="Y8" s="248"/>
      <c r="Z8" s="248"/>
      <c r="AA8" s="248"/>
      <c r="AB8" s="248"/>
      <c r="AC8" s="248"/>
      <c r="AD8" s="248"/>
      <c r="AE8" s="248"/>
      <c r="AF8" s="248"/>
      <c r="AG8" s="356"/>
      <c r="AH8" s="238"/>
      <c r="AI8" s="238"/>
      <c r="AJ8" s="238"/>
      <c r="AK8" s="238"/>
      <c r="AL8" s="240"/>
      <c r="AM8" s="240"/>
      <c r="AN8" s="355"/>
      <c r="AO8" s="355"/>
      <c r="AP8" s="355"/>
      <c r="AQ8" s="355"/>
      <c r="AR8" s="355"/>
      <c r="AS8" s="355"/>
      <c r="AT8" s="355"/>
      <c r="AU8" s="355"/>
      <c r="AV8" s="355"/>
      <c r="AW8" s="187"/>
    </row>
    <row r="9" spans="1:49" ht="12.75">
      <c r="A9" s="238"/>
      <c r="B9" s="238"/>
      <c r="C9" s="246">
        <v>1</v>
      </c>
      <c r="D9" s="247" t="s">
        <v>238</v>
      </c>
      <c r="E9" s="248"/>
      <c r="F9" s="248"/>
      <c r="G9" s="248"/>
      <c r="H9" s="238"/>
      <c r="I9" s="357"/>
      <c r="J9" s="247" t="s">
        <v>113</v>
      </c>
      <c r="K9" s="247" t="s">
        <v>114</v>
      </c>
      <c r="L9" s="248">
        <f>Existing!L9+Expansion!AN9</f>
        <v>120.97835007755627</v>
      </c>
      <c r="M9" s="248">
        <f>Existing!M9+Expansion!AO9</f>
        <v>139.57918047755624</v>
      </c>
      <c r="N9" s="248">
        <f>Existing!N9+Expansion!AP9</f>
        <v>158.20387263594404</v>
      </c>
      <c r="O9" s="248">
        <f>Existing!O9+Expansion!AQ9</f>
        <v>165.81643408866293</v>
      </c>
      <c r="P9" s="248">
        <f>Existing!P9+Expansion!AR9</f>
        <v>173.8036709704362</v>
      </c>
      <c r="Q9" s="248">
        <f>Existing!Q9+Expansion!AS9</f>
        <v>182.1841979998449</v>
      </c>
      <c r="R9" s="248">
        <f>Existing!R9+Expansion!AT9</f>
        <v>190.97755825034181</v>
      </c>
      <c r="S9" s="248">
        <f>Existing!S9+Expansion!AU9</f>
        <v>200.20426952037369</v>
      </c>
      <c r="T9" s="248">
        <f>Existing!T9+Expansion!AV9</f>
        <v>11.172739161388606</v>
      </c>
      <c r="U9" s="238"/>
      <c r="V9" s="247" t="s">
        <v>115</v>
      </c>
      <c r="W9" s="247" t="s">
        <v>116</v>
      </c>
      <c r="X9" s="248" t="e">
        <f>AN11*X10</f>
        <v>#REF!</v>
      </c>
      <c r="Y9" s="248">
        <f>AO11*Y10</f>
        <v>0.6975545900000001</v>
      </c>
      <c r="Z9" s="248">
        <f>AP11*Z10</f>
        <v>0.6975545900000001</v>
      </c>
      <c r="AA9" s="248">
        <f>AQ11*AA10</f>
        <v>0.6975545900000001</v>
      </c>
      <c r="AB9" s="248">
        <f>AR11*AB10</f>
        <v>0.6975545900000001</v>
      </c>
      <c r="AC9" s="248">
        <f>AW11*AC10</f>
        <v>0</v>
      </c>
      <c r="AD9" s="248">
        <f>AX11*AD10</f>
        <v>0</v>
      </c>
      <c r="AE9" s="248">
        <f>AY11*AE10</f>
        <v>0</v>
      </c>
      <c r="AF9" s="248">
        <f>AZ11*AF10</f>
        <v>0</v>
      </c>
      <c r="AG9" s="356"/>
      <c r="AH9" s="238"/>
      <c r="AI9" s="238"/>
      <c r="AJ9" s="238"/>
      <c r="AK9" s="238"/>
      <c r="AL9" s="358" t="s">
        <v>81</v>
      </c>
      <c r="AM9" s="256" t="s">
        <v>117</v>
      </c>
      <c r="AN9" s="248"/>
      <c r="AO9" s="248"/>
      <c r="AP9" s="248"/>
      <c r="AQ9" s="248"/>
      <c r="AR9" s="248"/>
      <c r="AS9" s="248"/>
      <c r="AT9" s="248"/>
      <c r="AU9" s="248"/>
      <c r="AV9" s="248"/>
      <c r="AW9" s="187"/>
    </row>
    <row r="10" spans="1:49" ht="12.75">
      <c r="A10" s="238"/>
      <c r="B10" s="238"/>
      <c r="C10" s="246"/>
      <c r="D10" s="247"/>
      <c r="E10" s="248"/>
      <c r="F10" s="248"/>
      <c r="G10" s="248"/>
      <c r="H10" s="238"/>
      <c r="I10" s="238"/>
      <c r="J10" s="247"/>
      <c r="K10" s="247" t="s">
        <v>163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38"/>
      <c r="V10" s="247"/>
      <c r="W10" s="247" t="s">
        <v>164</v>
      </c>
      <c r="X10" s="359">
        <v>0.1</v>
      </c>
      <c r="Y10" s="359">
        <f aca="true" t="shared" si="4" ref="Y10:AF10">+X10</f>
        <v>0.1</v>
      </c>
      <c r="Z10" s="359">
        <f t="shared" si="4"/>
        <v>0.1</v>
      </c>
      <c r="AA10" s="359">
        <f t="shared" si="4"/>
        <v>0.1</v>
      </c>
      <c r="AB10" s="359">
        <f t="shared" si="4"/>
        <v>0.1</v>
      </c>
      <c r="AC10" s="359">
        <f t="shared" si="4"/>
        <v>0.1</v>
      </c>
      <c r="AD10" s="359">
        <f t="shared" si="4"/>
        <v>0.1</v>
      </c>
      <c r="AE10" s="359">
        <f t="shared" si="4"/>
        <v>0.1</v>
      </c>
      <c r="AF10" s="359">
        <f t="shared" si="4"/>
        <v>0.1</v>
      </c>
      <c r="AG10" s="360"/>
      <c r="AH10" s="238"/>
      <c r="AI10" s="238"/>
      <c r="AJ10" s="238"/>
      <c r="AK10" s="238"/>
      <c r="AL10" s="247"/>
      <c r="AM10" s="247"/>
      <c r="AN10" s="248"/>
      <c r="AO10" s="248"/>
      <c r="AP10" s="248"/>
      <c r="AQ10" s="248"/>
      <c r="AR10" s="248"/>
      <c r="AS10" s="248"/>
      <c r="AT10" s="248"/>
      <c r="AU10" s="248"/>
      <c r="AV10" s="248"/>
      <c r="AW10" s="187"/>
    </row>
    <row r="11" spans="1:49" ht="13.5" thickBot="1">
      <c r="A11" s="238"/>
      <c r="B11" s="238"/>
      <c r="C11" s="246"/>
      <c r="D11" s="247" t="s">
        <v>254</v>
      </c>
      <c r="E11" s="248"/>
      <c r="F11" s="248"/>
      <c r="G11" s="248"/>
      <c r="H11" s="238"/>
      <c r="I11" s="238"/>
      <c r="J11" s="247"/>
      <c r="K11" s="254" t="s">
        <v>24</v>
      </c>
      <c r="L11" s="255">
        <f>L9</f>
        <v>120.97835007755627</v>
      </c>
      <c r="M11" s="255">
        <f aca="true" t="shared" si="5" ref="M11:T11">M9</f>
        <v>139.57918047755624</v>
      </c>
      <c r="N11" s="255">
        <f t="shared" si="5"/>
        <v>158.20387263594404</v>
      </c>
      <c r="O11" s="255">
        <f t="shared" si="5"/>
        <v>165.81643408866293</v>
      </c>
      <c r="P11" s="255">
        <f t="shared" si="5"/>
        <v>173.8036709704362</v>
      </c>
      <c r="Q11" s="255">
        <f t="shared" si="5"/>
        <v>182.1841979998449</v>
      </c>
      <c r="R11" s="255">
        <f t="shared" si="5"/>
        <v>190.97755825034181</v>
      </c>
      <c r="S11" s="255">
        <f t="shared" si="5"/>
        <v>200.20426952037369</v>
      </c>
      <c r="T11" s="255">
        <f t="shared" si="5"/>
        <v>11.172739161388606</v>
      </c>
      <c r="U11" s="238"/>
      <c r="V11" s="247"/>
      <c r="W11" s="247"/>
      <c r="X11" s="248"/>
      <c r="Y11" s="248"/>
      <c r="Z11" s="248"/>
      <c r="AA11" s="248"/>
      <c r="AB11" s="248"/>
      <c r="AC11" s="248"/>
      <c r="AD11" s="248"/>
      <c r="AE11" s="248"/>
      <c r="AF11" s="248"/>
      <c r="AG11" s="356"/>
      <c r="AH11" s="238"/>
      <c r="AI11" s="238"/>
      <c r="AJ11" s="238"/>
      <c r="AK11" s="238"/>
      <c r="AL11" s="247">
        <v>1</v>
      </c>
      <c r="AM11" s="247" t="s">
        <v>555</v>
      </c>
      <c r="AN11" s="248" t="e">
        <f>+Expansion!#REF!+Existing!BA11</f>
        <v>#REF!</v>
      </c>
      <c r="AO11" s="248">
        <f>+Expansion!CH12+Existing!BB11</f>
        <v>6.9755459</v>
      </c>
      <c r="AP11" s="248">
        <f>+Expansion!CI12+Existing!BC11</f>
        <v>6.9755459</v>
      </c>
      <c r="AQ11" s="248">
        <f>+Expansion!CJ12+Existing!BD11</f>
        <v>6.9755459</v>
      </c>
      <c r="AR11" s="248">
        <f>+Expansion!CK12+Existing!BE11</f>
        <v>6.9755459</v>
      </c>
      <c r="AS11" s="248">
        <f>+Expansion!CL12+Existing!BF11</f>
        <v>6.9755459</v>
      </c>
      <c r="AT11" s="248">
        <f>+Expansion!CM12+Existing!BG11</f>
        <v>6.9755459</v>
      </c>
      <c r="AU11" s="248">
        <f>+Expansion!CN12+Existing!BH11</f>
        <v>6.9755459</v>
      </c>
      <c r="AV11" s="248">
        <f>+Expansion!CO11+Existing!BI11</f>
        <v>1.9755459</v>
      </c>
      <c r="AW11" s="187"/>
    </row>
    <row r="12" spans="1:49" ht="13.5" thickTop="1">
      <c r="A12" s="238"/>
      <c r="B12" s="238"/>
      <c r="C12" s="246"/>
      <c r="D12" s="247" t="s">
        <v>268</v>
      </c>
      <c r="E12" s="248">
        <f>Existing!E12+Existing!E13+Expansion!AG12</f>
        <v>103.38</v>
      </c>
      <c r="F12" s="248">
        <f>Existing!F12+Existing!F13+Expansion!AH12</f>
        <v>119.30760000000001</v>
      </c>
      <c r="G12" s="248">
        <f>Existing!G12+Existing!G13+Expansion!AI12</f>
        <v>135.238752</v>
      </c>
      <c r="H12" s="357"/>
      <c r="I12" s="238"/>
      <c r="J12" s="247"/>
      <c r="K12" s="247"/>
      <c r="L12" s="248"/>
      <c r="M12" s="248"/>
      <c r="N12" s="248"/>
      <c r="O12" s="248"/>
      <c r="P12" s="248"/>
      <c r="Q12" s="248"/>
      <c r="R12" s="248"/>
      <c r="S12" s="248"/>
      <c r="T12" s="248"/>
      <c r="U12" s="238"/>
      <c r="V12" s="247" t="s">
        <v>229</v>
      </c>
      <c r="W12" s="247" t="s">
        <v>230</v>
      </c>
      <c r="X12" s="355" t="e">
        <f aca="true" t="shared" si="6" ref="X12:AF12">+X7-X9</f>
        <v>#REF!</v>
      </c>
      <c r="Y12" s="355">
        <f t="shared" si="6"/>
        <v>6.935922269094513</v>
      </c>
      <c r="Z12" s="355">
        <f t="shared" si="6"/>
        <v>8.454824192756128</v>
      </c>
      <c r="AA12" s="355">
        <f t="shared" si="6"/>
        <v>9.227550541519756</v>
      </c>
      <c r="AB12" s="355">
        <f t="shared" si="6"/>
        <v>10.03215149528851</v>
      </c>
      <c r="AC12" s="355">
        <f t="shared" si="6"/>
        <v>11.510481681356</v>
      </c>
      <c r="AD12" s="355">
        <f t="shared" si="6"/>
        <v>12.368799392599254</v>
      </c>
      <c r="AE12" s="355">
        <f t="shared" si="6"/>
        <v>13.17612752996141</v>
      </c>
      <c r="AF12" s="355">
        <f t="shared" si="6"/>
        <v>1.897045412329382</v>
      </c>
      <c r="AG12" s="356"/>
      <c r="AH12" s="238"/>
      <c r="AI12" s="238"/>
      <c r="AJ12" s="238"/>
      <c r="AK12" s="238"/>
      <c r="AL12" s="247">
        <v>2</v>
      </c>
      <c r="AM12" s="247" t="s">
        <v>240</v>
      </c>
      <c r="AN12" s="248">
        <f>Existing!BA12</f>
        <v>3.467719002091129</v>
      </c>
      <c r="AO12" s="248">
        <f>Expansion!CG13+Existing!BB12-Expansion!$BT$39</f>
        <v>9.077531964935616</v>
      </c>
      <c r="AP12" s="248">
        <f>Expansion!CH13+Existing!BC12-Expansion!$BT$39</f>
        <v>16.02141731275424</v>
      </c>
      <c r="AQ12" s="248">
        <f>Expansion!CI13+Existing!BD12-Expansion!$BT$39</f>
        <v>24.42976709427399</v>
      </c>
      <c r="AR12" s="248">
        <f>Expansion!CJ13+Existing!BE12-Expansion!$BT$39</f>
        <v>33.55296240956251</v>
      </c>
      <c r="AS12" s="248">
        <f>Expansion!CK13+Existing!BF12-Expansion!$BT$39</f>
        <v>43.4170821146685</v>
      </c>
      <c r="AT12" s="248">
        <f>Expansion!CL13+Existing!BG12-Expansion!$BT$39</f>
        <v>54.19192320736775</v>
      </c>
      <c r="AU12" s="248">
        <f>Expansion!CM13+Existing!BH12-Expansion!$BT$39</f>
        <v>65.74801018150357</v>
      </c>
      <c r="AV12" s="248">
        <f>Expansion!CN13+Existing!BI12-Expansion!$BT$39</f>
        <v>78.02663197243358</v>
      </c>
      <c r="AW12" s="187"/>
    </row>
    <row r="13" spans="1:49" ht="12.75">
      <c r="A13" s="238"/>
      <c r="B13" s="238"/>
      <c r="C13" s="246"/>
      <c r="D13" s="247"/>
      <c r="E13" s="248"/>
      <c r="F13" s="248"/>
      <c r="G13" s="248"/>
      <c r="H13" s="238"/>
      <c r="I13" s="361">
        <v>0.1</v>
      </c>
      <c r="J13" s="247" t="s">
        <v>227</v>
      </c>
      <c r="K13" s="256" t="s">
        <v>228</v>
      </c>
      <c r="L13" s="248"/>
      <c r="M13" s="248"/>
      <c r="N13" s="248"/>
      <c r="O13" s="248"/>
      <c r="P13" s="248"/>
      <c r="Q13" s="248"/>
      <c r="R13" s="248"/>
      <c r="S13" s="248"/>
      <c r="T13" s="248"/>
      <c r="U13" s="238"/>
      <c r="V13" s="247"/>
      <c r="W13" s="247"/>
      <c r="X13" s="248"/>
      <c r="Y13" s="248"/>
      <c r="Z13" s="248"/>
      <c r="AA13" s="248"/>
      <c r="AB13" s="248"/>
      <c r="AC13" s="248"/>
      <c r="AD13" s="248"/>
      <c r="AE13" s="248"/>
      <c r="AF13" s="248"/>
      <c r="AG13" s="356"/>
      <c r="AH13" s="238"/>
      <c r="AI13" s="238"/>
      <c r="AJ13" s="238"/>
      <c r="AK13" s="238"/>
      <c r="AL13" s="254" t="s">
        <v>587</v>
      </c>
      <c r="AM13" s="247" t="s">
        <v>592</v>
      </c>
      <c r="AN13" s="248">
        <f>Existing!BA13</f>
        <v>0</v>
      </c>
      <c r="AO13" s="248">
        <f>Existing!BB13</f>
        <v>0</v>
      </c>
      <c r="AP13" s="248">
        <f>Existing!BC13</f>
        <v>0</v>
      </c>
      <c r="AQ13" s="248">
        <f>Existing!BD13</f>
        <v>0</v>
      </c>
      <c r="AR13" s="248">
        <f>Existing!BE13</f>
        <v>10</v>
      </c>
      <c r="AS13" s="248">
        <f>Existing!BF13</f>
        <v>10</v>
      </c>
      <c r="AT13" s="248">
        <f>Existing!BG13</f>
        <v>0</v>
      </c>
      <c r="AU13" s="248">
        <f>Existing!BH13</f>
        <v>0</v>
      </c>
      <c r="AV13" s="248">
        <f>Existing!BI13</f>
        <v>0</v>
      </c>
      <c r="AW13" s="187"/>
    </row>
    <row r="14" spans="1:49" ht="12.75">
      <c r="A14" s="238"/>
      <c r="B14" s="238"/>
      <c r="C14" s="246"/>
      <c r="D14" s="249" t="s">
        <v>550</v>
      </c>
      <c r="E14" s="248">
        <f>Existing!E15+Expansion!AG14</f>
        <v>11.71152</v>
      </c>
      <c r="F14" s="248">
        <f>Existing!F15+Expansion!AH14</f>
        <v>13.6617504</v>
      </c>
      <c r="G14" s="248">
        <f>Existing!G15+Expansion!AI14</f>
        <v>15.611985407999999</v>
      </c>
      <c r="H14" s="238"/>
      <c r="I14" s="361">
        <v>0.1</v>
      </c>
      <c r="J14" s="247"/>
      <c r="K14" s="247" t="s">
        <v>200</v>
      </c>
      <c r="L14" s="248">
        <f>Existing!L14+Expansion!AN13</f>
        <v>0.6777219999999999</v>
      </c>
      <c r="M14" s="248">
        <f>Existing!M14+Expansion!AO13</f>
        <v>0.7416081</v>
      </c>
      <c r="N14" s="248">
        <f>Existing!N14+Expansion!AP13</f>
        <v>0.8116885050000001</v>
      </c>
      <c r="O14" s="248">
        <f>Existing!O14+Expansion!AQ13</f>
        <v>0.8885729302500002</v>
      </c>
      <c r="P14" s="248">
        <f>Existing!P14+Expansion!AR13</f>
        <v>0.9729315767625002</v>
      </c>
      <c r="Q14" s="248">
        <f>Existing!Q14+Expansion!AS13</f>
        <v>1.0655011556006253</v>
      </c>
      <c r="R14" s="248">
        <f>Existing!R14+Expansion!AT13</f>
        <v>1.1670915133806568</v>
      </c>
      <c r="S14" s="248">
        <f>Existing!S14+Expansion!AU13</f>
        <v>1.2785929190496896</v>
      </c>
      <c r="T14" s="248">
        <f>Existing!T14+Expansion!AV13</f>
        <v>0.11483079200217351</v>
      </c>
      <c r="U14" s="238"/>
      <c r="V14" s="247"/>
      <c r="W14" s="247" t="s">
        <v>248</v>
      </c>
      <c r="X14" s="248"/>
      <c r="Y14" s="248"/>
      <c r="Z14" s="248"/>
      <c r="AA14" s="248"/>
      <c r="AB14" s="248"/>
      <c r="AC14" s="248"/>
      <c r="AD14" s="248"/>
      <c r="AE14" s="248"/>
      <c r="AF14" s="248"/>
      <c r="AG14" s="356"/>
      <c r="AH14" s="238"/>
      <c r="AI14" s="238"/>
      <c r="AJ14" s="238"/>
      <c r="AK14" s="238"/>
      <c r="AL14" s="247"/>
      <c r="AM14" s="247"/>
      <c r="AN14" s="251" t="e">
        <f>SUM(AN11:AN13)</f>
        <v>#REF!</v>
      </c>
      <c r="AO14" s="251">
        <f aca="true" t="shared" si="7" ref="AO14:AV14">SUM(AO11:AO13)</f>
        <v>16.053077864935617</v>
      </c>
      <c r="AP14" s="251">
        <f t="shared" si="7"/>
        <v>22.996963212754242</v>
      </c>
      <c r="AQ14" s="251">
        <f t="shared" si="7"/>
        <v>31.40531299427399</v>
      </c>
      <c r="AR14" s="251">
        <f t="shared" si="7"/>
        <v>50.52850830956251</v>
      </c>
      <c r="AS14" s="251">
        <f t="shared" si="7"/>
        <v>60.3926280146685</v>
      </c>
      <c r="AT14" s="251">
        <f t="shared" si="7"/>
        <v>61.16746910736775</v>
      </c>
      <c r="AU14" s="251">
        <f t="shared" si="7"/>
        <v>72.72355608150357</v>
      </c>
      <c r="AV14" s="251">
        <f t="shared" si="7"/>
        <v>80.00217787243358</v>
      </c>
      <c r="AW14" s="187"/>
    </row>
    <row r="15" spans="1:49" ht="12.75">
      <c r="A15" s="238"/>
      <c r="B15" s="238"/>
      <c r="C15" s="246"/>
      <c r="D15" s="247" t="s">
        <v>307</v>
      </c>
      <c r="E15" s="248"/>
      <c r="F15" s="248"/>
      <c r="G15" s="248"/>
      <c r="H15" s="238"/>
      <c r="I15" s="361">
        <v>0.1</v>
      </c>
      <c r="J15" s="247"/>
      <c r="K15" s="247" t="s">
        <v>255</v>
      </c>
      <c r="L15" s="248">
        <f>Existing!L17+Expansion!AN15</f>
        <v>0.372853</v>
      </c>
      <c r="M15" s="248">
        <f>Existing!M17+Expansion!AO15</f>
        <v>0.40949565000000004</v>
      </c>
      <c r="N15" s="248">
        <f>Existing!N17+Expansion!AP15</f>
        <v>0.44977043250000004</v>
      </c>
      <c r="O15" s="248">
        <f>Existing!O17+Expansion!AQ15</f>
        <v>0.4940389541250001</v>
      </c>
      <c r="P15" s="248">
        <f>Existing!P17+Expansion!AR15</f>
        <v>0.5426989018312501</v>
      </c>
      <c r="Q15" s="248">
        <f>Existing!Q17+Expansion!AS15</f>
        <v>0.5961876469228127</v>
      </c>
      <c r="R15" s="248">
        <f>Existing!R17+Expansion!AT15</f>
        <v>0.6549862092689535</v>
      </c>
      <c r="S15" s="248">
        <f>Existing!S17+Expansion!AU15</f>
        <v>0.7196236177324011</v>
      </c>
      <c r="T15" s="248">
        <f>Existing!T17+Expansion!AV14</f>
        <v>0.018989734819020818</v>
      </c>
      <c r="U15" s="238"/>
      <c r="V15" s="247"/>
      <c r="W15" s="247" t="s">
        <v>256</v>
      </c>
      <c r="X15" s="248">
        <f aca="true" t="shared" si="8" ref="X15:AF15">+L36</f>
        <v>1.7307144924999998</v>
      </c>
      <c r="Y15" s="248">
        <f t="shared" si="8"/>
        <v>1.6441787678749997</v>
      </c>
      <c r="Z15" s="248">
        <f t="shared" si="8"/>
        <v>1.5619698294812498</v>
      </c>
      <c r="AA15" s="248">
        <f t="shared" si="8"/>
        <v>1.4838713380071873</v>
      </c>
      <c r="AB15" s="248">
        <f t="shared" si="8"/>
        <v>1.4096777711068278</v>
      </c>
      <c r="AC15" s="248">
        <f t="shared" si="8"/>
        <v>1.3391938825514864</v>
      </c>
      <c r="AD15" s="248">
        <f t="shared" si="8"/>
        <v>1.272234188423912</v>
      </c>
      <c r="AE15" s="248">
        <f t="shared" si="8"/>
        <v>1.2086224790027162</v>
      </c>
      <c r="AF15" s="248">
        <f t="shared" si="8"/>
        <v>0.10662127792875273</v>
      </c>
      <c r="AG15" s="356"/>
      <c r="AH15" s="238"/>
      <c r="AI15" s="238"/>
      <c r="AJ15" s="238"/>
      <c r="AK15" s="238"/>
      <c r="AL15" s="247"/>
      <c r="AM15" s="247"/>
      <c r="AN15" s="248"/>
      <c r="AO15" s="248"/>
      <c r="AP15" s="248"/>
      <c r="AQ15" s="248"/>
      <c r="AR15" s="248"/>
      <c r="AS15" s="248"/>
      <c r="AT15" s="248"/>
      <c r="AU15" s="248"/>
      <c r="AV15" s="248"/>
      <c r="AW15" s="187"/>
    </row>
    <row r="16" spans="1:49" ht="12.75">
      <c r="A16" s="238"/>
      <c r="B16" s="238"/>
      <c r="C16" s="246"/>
      <c r="D16" s="247"/>
      <c r="E16" s="248"/>
      <c r="F16" s="248"/>
      <c r="G16" s="248"/>
      <c r="H16" s="238"/>
      <c r="I16" s="361"/>
      <c r="J16" s="247"/>
      <c r="K16" s="247" t="s">
        <v>269</v>
      </c>
      <c r="L16" s="248"/>
      <c r="M16" s="248"/>
      <c r="N16" s="248"/>
      <c r="O16" s="248"/>
      <c r="P16" s="248"/>
      <c r="Q16" s="248"/>
      <c r="R16" s="248"/>
      <c r="S16" s="248"/>
      <c r="T16" s="248"/>
      <c r="U16" s="238"/>
      <c r="V16" s="247"/>
      <c r="W16" s="247" t="s">
        <v>270</v>
      </c>
      <c r="X16" s="248">
        <f aca="true" t="shared" si="9" ref="X16:AF16">+L41</f>
        <v>0</v>
      </c>
      <c r="Y16" s="248">
        <f t="shared" si="9"/>
        <v>0</v>
      </c>
      <c r="Z16" s="248">
        <f t="shared" si="9"/>
        <v>0</v>
      </c>
      <c r="AA16" s="248">
        <f t="shared" si="9"/>
        <v>0</v>
      </c>
      <c r="AB16" s="248">
        <f t="shared" si="9"/>
        <v>0</v>
      </c>
      <c r="AC16" s="248">
        <f t="shared" si="9"/>
        <v>0</v>
      </c>
      <c r="AD16" s="248">
        <f t="shared" si="9"/>
        <v>0</v>
      </c>
      <c r="AE16" s="248">
        <f t="shared" si="9"/>
        <v>0</v>
      </c>
      <c r="AF16" s="248">
        <f t="shared" si="9"/>
        <v>0</v>
      </c>
      <c r="AG16" s="356"/>
      <c r="AH16" s="238"/>
      <c r="AI16" s="238"/>
      <c r="AJ16" s="238"/>
      <c r="AK16" s="238"/>
      <c r="AL16" s="247">
        <f>+AL12+1</f>
        <v>3</v>
      </c>
      <c r="AM16" s="247" t="s">
        <v>273</v>
      </c>
      <c r="AN16" s="248"/>
      <c r="AO16" s="248"/>
      <c r="AP16" s="248"/>
      <c r="AQ16" s="248"/>
      <c r="AR16" s="248"/>
      <c r="AS16" s="248"/>
      <c r="AT16" s="248"/>
      <c r="AU16" s="248"/>
      <c r="AV16" s="248"/>
      <c r="AW16" s="187"/>
    </row>
    <row r="17" spans="1:49" ht="12.75">
      <c r="A17" s="238"/>
      <c r="B17" s="238"/>
      <c r="C17" s="246"/>
      <c r="D17" s="247" t="s">
        <v>551</v>
      </c>
      <c r="E17" s="248">
        <f>Existing!E18+Expansion!AG17</f>
        <v>2.6399999999999997</v>
      </c>
      <c r="F17" s="248">
        <f>Existing!F18+Expansion!AH17</f>
        <v>3.036</v>
      </c>
      <c r="G17" s="248">
        <f>Existing!G18+Expansion!AI17</f>
        <v>3.4321200000000003</v>
      </c>
      <c r="H17" s="238"/>
      <c r="I17" s="361">
        <v>0.1</v>
      </c>
      <c r="J17" s="247"/>
      <c r="K17" s="247" t="s">
        <v>278</v>
      </c>
      <c r="L17" s="248"/>
      <c r="M17" s="248"/>
      <c r="N17" s="248"/>
      <c r="O17" s="248"/>
      <c r="P17" s="248"/>
      <c r="Q17" s="248"/>
      <c r="R17" s="248"/>
      <c r="S17" s="248"/>
      <c r="T17" s="248"/>
      <c r="U17" s="238"/>
      <c r="V17" s="247"/>
      <c r="W17" s="247"/>
      <c r="X17" s="248"/>
      <c r="Y17" s="248"/>
      <c r="Z17" s="248"/>
      <c r="AA17" s="248"/>
      <c r="AB17" s="248"/>
      <c r="AC17" s="248"/>
      <c r="AD17" s="248"/>
      <c r="AE17" s="248"/>
      <c r="AF17" s="248"/>
      <c r="AG17" s="356"/>
      <c r="AH17" s="238"/>
      <c r="AI17" s="238"/>
      <c r="AJ17" s="238"/>
      <c r="AK17" s="238"/>
      <c r="AL17" s="247"/>
      <c r="AM17" s="247" t="s">
        <v>281</v>
      </c>
      <c r="AN17" s="248">
        <f>Existing!BA17</f>
        <v>0</v>
      </c>
      <c r="AO17" s="248">
        <f>Existing!BB17+Expansion!CG17</f>
        <v>19.9</v>
      </c>
      <c r="AP17" s="248">
        <f>Existing!BC17+Expansion!CH17</f>
        <v>16.583333333333336</v>
      </c>
      <c r="AQ17" s="248">
        <f>Existing!BD17+Expansion!CI17</f>
        <v>13.266666666666673</v>
      </c>
      <c r="AR17" s="248">
        <f>Existing!BE17+Expansion!CJ17</f>
        <v>9.95000000000001</v>
      </c>
      <c r="AS17" s="248">
        <f>Existing!BF17+Expansion!CK17</f>
        <v>6.633333333333345</v>
      </c>
      <c r="AT17" s="248">
        <f>Existing!BG17+Expansion!CL17</f>
        <v>3.316666666666679</v>
      </c>
      <c r="AU17" s="248">
        <f>Existing!BH17+Expansion!CM17</f>
        <v>1.2434497875801753E-14</v>
      </c>
      <c r="AV17" s="248">
        <f>Existing!BI17+Expansion!CN17</f>
        <v>1.2434497875801753E-14</v>
      </c>
      <c r="AW17" s="187"/>
    </row>
    <row r="18" spans="1:49" ht="12.75">
      <c r="A18" s="238"/>
      <c r="B18" s="238"/>
      <c r="C18" s="246"/>
      <c r="D18" s="247"/>
      <c r="E18" s="248"/>
      <c r="F18" s="248"/>
      <c r="G18" s="248"/>
      <c r="H18" s="238"/>
      <c r="I18" s="361">
        <v>0.1</v>
      </c>
      <c r="J18" s="247"/>
      <c r="K18" s="247" t="s">
        <v>288</v>
      </c>
      <c r="L18" s="248">
        <f>Existing!L18+Expansion!AN16</f>
        <v>0.071705</v>
      </c>
      <c r="M18" s="248">
        <f>Existing!M18+Expansion!AO16</f>
        <v>0.07529025</v>
      </c>
      <c r="N18" s="248">
        <f>Existing!N18+Expansion!AP16</f>
        <v>0.0790547625</v>
      </c>
      <c r="O18" s="248">
        <f>Existing!O18+Expansion!AQ16</f>
        <v>0.083007500625</v>
      </c>
      <c r="P18" s="248">
        <f>Existing!P18+Expansion!AR16</f>
        <v>0.08715787565625</v>
      </c>
      <c r="Q18" s="248">
        <f>Existing!Q18+Expansion!AS16</f>
        <v>0.09151576943906249</v>
      </c>
      <c r="R18" s="248">
        <f>Existing!R18+Expansion!AT16</f>
        <v>0.09609155791101562</v>
      </c>
      <c r="S18" s="248">
        <f>Existing!S18+Expansion!AU16</f>
        <v>0.1008961358065664</v>
      </c>
      <c r="T18" s="248">
        <f>Existing!T18+Expansion!AV15</f>
        <v>0.10594094259689471</v>
      </c>
      <c r="U18" s="238"/>
      <c r="V18" s="247" t="s">
        <v>289</v>
      </c>
      <c r="W18" s="247" t="s">
        <v>118</v>
      </c>
      <c r="X18" s="251" t="e">
        <f aca="true" t="shared" si="10" ref="X18:AF18">+X12+X16+X15</f>
        <v>#REF!</v>
      </c>
      <c r="Y18" s="251">
        <f t="shared" si="10"/>
        <v>8.580101036969513</v>
      </c>
      <c r="Z18" s="251">
        <f t="shared" si="10"/>
        <v>10.016794022237377</v>
      </c>
      <c r="AA18" s="251">
        <f t="shared" si="10"/>
        <v>10.711421879526943</v>
      </c>
      <c r="AB18" s="251">
        <f t="shared" si="10"/>
        <v>11.441829266395338</v>
      </c>
      <c r="AC18" s="251">
        <f t="shared" si="10"/>
        <v>12.849675563907486</v>
      </c>
      <c r="AD18" s="251">
        <f t="shared" si="10"/>
        <v>13.641033581023166</v>
      </c>
      <c r="AE18" s="251">
        <f t="shared" si="10"/>
        <v>14.384750008964126</v>
      </c>
      <c r="AF18" s="251">
        <f t="shared" si="10"/>
        <v>2.0036666902581346</v>
      </c>
      <c r="AG18" s="356"/>
      <c r="AH18" s="238"/>
      <c r="AI18" s="238"/>
      <c r="AJ18" s="238"/>
      <c r="AK18" s="238"/>
      <c r="AL18" s="247"/>
      <c r="AM18" s="247" t="s">
        <v>291</v>
      </c>
      <c r="AN18" s="248">
        <f>Existing!BA18</f>
        <v>0.7465520000000001</v>
      </c>
      <c r="AO18" s="248">
        <f>Existing!BB18+Expansion!CG18</f>
        <v>24.664078124999996</v>
      </c>
      <c r="AP18" s="248">
        <f>Existing!BC18+Expansion!CH18</f>
        <v>28.766953125</v>
      </c>
      <c r="AQ18" s="248">
        <f>Existing!BD18+Expansion!CI18</f>
        <v>32.87075625000001</v>
      </c>
      <c r="AR18" s="248">
        <f>Existing!BE18+Expansion!CJ18</f>
        <v>32.87075625000001</v>
      </c>
      <c r="AS18" s="248">
        <f>Existing!BF18+Expansion!CK18</f>
        <v>32.87075625000001</v>
      </c>
      <c r="AT18" s="248">
        <f>Existing!BG18+Expansion!CL18</f>
        <v>32.87075625000001</v>
      </c>
      <c r="AU18" s="248">
        <f>Existing!BH18+Expansion!CM18</f>
        <v>32.87075625000001</v>
      </c>
      <c r="AV18" s="248">
        <f>Existing!BI18+Expansion!CN18</f>
        <v>32.87075625000001</v>
      </c>
      <c r="AW18" s="187"/>
    </row>
    <row r="19" spans="1:49" ht="12.75">
      <c r="A19" s="238"/>
      <c r="B19" s="238"/>
      <c r="C19" s="246"/>
      <c r="D19" s="250" t="s">
        <v>338</v>
      </c>
      <c r="E19" s="251">
        <f>SUM(E9:E18)</f>
        <v>117.73152</v>
      </c>
      <c r="F19" s="251">
        <f>SUM(F9:F18)</f>
        <v>136.0053504</v>
      </c>
      <c r="G19" s="251">
        <f>SUM(G9:G18)</f>
        <v>154.282857408</v>
      </c>
      <c r="H19" s="238"/>
      <c r="I19" s="238"/>
      <c r="J19" s="247"/>
      <c r="K19" s="257" t="s">
        <v>299</v>
      </c>
      <c r="L19" s="251">
        <f aca="true" t="shared" si="11" ref="L19:T19">SUM(L12:L18)</f>
        <v>1.1222799999999997</v>
      </c>
      <c r="M19" s="251">
        <f t="shared" si="11"/>
        <v>1.226394</v>
      </c>
      <c r="N19" s="251">
        <f t="shared" si="11"/>
        <v>1.3405137</v>
      </c>
      <c r="O19" s="251">
        <f t="shared" si="11"/>
        <v>1.465619385</v>
      </c>
      <c r="P19" s="251">
        <f t="shared" si="11"/>
        <v>1.6027883542500003</v>
      </c>
      <c r="Q19" s="251">
        <f t="shared" si="11"/>
        <v>1.7532045719625005</v>
      </c>
      <c r="R19" s="251">
        <f t="shared" si="11"/>
        <v>1.9181692805606256</v>
      </c>
      <c r="S19" s="251">
        <f t="shared" si="11"/>
        <v>2.099112672588657</v>
      </c>
      <c r="T19" s="251">
        <f t="shared" si="11"/>
        <v>0.23976146941808904</v>
      </c>
      <c r="U19" s="238"/>
      <c r="V19" s="247"/>
      <c r="W19" s="247"/>
      <c r="X19" s="248"/>
      <c r="Y19" s="248"/>
      <c r="Z19" s="248"/>
      <c r="AA19" s="248"/>
      <c r="AB19" s="248"/>
      <c r="AC19" s="248"/>
      <c r="AD19" s="248"/>
      <c r="AE19" s="248"/>
      <c r="AF19" s="248"/>
      <c r="AG19" s="356"/>
      <c r="AH19" s="238"/>
      <c r="AI19" s="238"/>
      <c r="AJ19" s="238"/>
      <c r="AK19" s="238"/>
      <c r="AL19" s="247"/>
      <c r="AM19" s="247"/>
      <c r="AN19" s="251">
        <f aca="true" t="shared" si="12" ref="AN19:AV19">+AN18+AN17</f>
        <v>0.7465520000000001</v>
      </c>
      <c r="AO19" s="251">
        <f t="shared" si="12"/>
        <v>44.564078124999995</v>
      </c>
      <c r="AP19" s="251">
        <f t="shared" si="12"/>
        <v>45.350286458333336</v>
      </c>
      <c r="AQ19" s="251">
        <f t="shared" si="12"/>
        <v>46.13742291666668</v>
      </c>
      <c r="AR19" s="251">
        <f t="shared" si="12"/>
        <v>42.82075625000002</v>
      </c>
      <c r="AS19" s="251">
        <f t="shared" si="12"/>
        <v>39.504089583333354</v>
      </c>
      <c r="AT19" s="251">
        <f t="shared" si="12"/>
        <v>36.187422916666684</v>
      </c>
      <c r="AU19" s="251">
        <f t="shared" si="12"/>
        <v>32.87075625000002</v>
      </c>
      <c r="AV19" s="251">
        <f t="shared" si="12"/>
        <v>32.87075625000002</v>
      </c>
      <c r="AW19" s="187"/>
    </row>
    <row r="20" spans="1:49" ht="12.75">
      <c r="A20" s="238"/>
      <c r="B20" s="238"/>
      <c r="C20" s="246"/>
      <c r="D20" s="247"/>
      <c r="E20" s="248"/>
      <c r="F20" s="248"/>
      <c r="G20" s="248"/>
      <c r="H20" s="238"/>
      <c r="I20" s="238"/>
      <c r="J20" s="247"/>
      <c r="K20" s="247"/>
      <c r="L20" s="248"/>
      <c r="M20" s="248"/>
      <c r="N20" s="248"/>
      <c r="O20" s="248"/>
      <c r="P20" s="248"/>
      <c r="Q20" s="248"/>
      <c r="R20" s="248"/>
      <c r="S20" s="248"/>
      <c r="T20" s="248"/>
      <c r="U20" s="238"/>
      <c r="V20" s="247"/>
      <c r="W20" s="249" t="s">
        <v>591</v>
      </c>
      <c r="X20" s="362">
        <f>L39/L29</f>
        <v>0.055553971576103846</v>
      </c>
      <c r="Y20" s="362">
        <f aca="true" t="shared" si="13" ref="Y20:AF20">M39/M29</f>
        <v>0.0601503208013369</v>
      </c>
      <c r="Z20" s="362">
        <f t="shared" si="13"/>
        <v>0.06448822055826454</v>
      </c>
      <c r="AA20" s="362">
        <f t="shared" si="13"/>
        <v>0.06719435783522075</v>
      </c>
      <c r="AB20" s="362">
        <f t="shared" si="13"/>
        <v>0.06963619862634265</v>
      </c>
      <c r="AC20" s="362">
        <f t="shared" si="13"/>
        <v>0.07183086220983503</v>
      </c>
      <c r="AD20" s="362">
        <f t="shared" si="13"/>
        <v>0.07379420149985355</v>
      </c>
      <c r="AE20" s="362">
        <f t="shared" si="13"/>
        <v>0.07506402868766791</v>
      </c>
      <c r="AF20" s="362">
        <f t="shared" si="13"/>
        <v>0.1895744632952457</v>
      </c>
      <c r="AG20" s="363"/>
      <c r="AH20" s="238"/>
      <c r="AI20" s="238"/>
      <c r="AJ20" s="238"/>
      <c r="AK20" s="238"/>
      <c r="AL20" s="247"/>
      <c r="AM20" s="247"/>
      <c r="AN20" s="248"/>
      <c r="AO20" s="248"/>
      <c r="AP20" s="248"/>
      <c r="AQ20" s="248"/>
      <c r="AR20" s="248"/>
      <c r="AS20" s="248"/>
      <c r="AT20" s="248"/>
      <c r="AU20" s="248"/>
      <c r="AV20" s="248"/>
      <c r="AW20" s="187"/>
    </row>
    <row r="21" spans="1:49" ht="12.75">
      <c r="A21" s="238"/>
      <c r="B21" s="238"/>
      <c r="C21" s="246">
        <f>+C9+1</f>
        <v>2</v>
      </c>
      <c r="D21" s="247" t="s">
        <v>293</v>
      </c>
      <c r="E21" s="248"/>
      <c r="F21" s="248"/>
      <c r="G21" s="248"/>
      <c r="H21" s="238"/>
      <c r="I21" s="238"/>
      <c r="J21" s="247"/>
      <c r="K21" s="247"/>
      <c r="L21" s="248"/>
      <c r="M21" s="248"/>
      <c r="N21" s="248"/>
      <c r="O21" s="248"/>
      <c r="P21" s="248"/>
      <c r="Q21" s="248"/>
      <c r="R21" s="248"/>
      <c r="S21" s="248"/>
      <c r="T21" s="248"/>
      <c r="U21" s="238"/>
      <c r="V21" s="247"/>
      <c r="W21" s="247"/>
      <c r="X21" s="248"/>
      <c r="Y21" s="248"/>
      <c r="Z21" s="248"/>
      <c r="AA21" s="248"/>
      <c r="AB21" s="248"/>
      <c r="AC21" s="248"/>
      <c r="AD21" s="248"/>
      <c r="AE21" s="248"/>
      <c r="AF21" s="248"/>
      <c r="AG21" s="356"/>
      <c r="AH21" s="238"/>
      <c r="AI21" s="238"/>
      <c r="AJ21" s="238"/>
      <c r="AK21" s="238"/>
      <c r="AL21" s="247">
        <f>+AL16+1</f>
        <v>4</v>
      </c>
      <c r="AM21" s="247" t="s">
        <v>552</v>
      </c>
      <c r="AN21" s="248">
        <f>Existing!BA21</f>
        <v>2.382837519389063</v>
      </c>
      <c r="AO21" s="248">
        <f>Existing!BB21+Expansion!CG21</f>
        <v>10.306045119389063</v>
      </c>
      <c r="AP21" s="248">
        <f>Existing!BC21+Expansion!CH21</f>
        <v>11.667768158986007</v>
      </c>
      <c r="AQ21" s="248">
        <f>Existing!BD21+Expansion!CI21</f>
        <v>13.029873522165728</v>
      </c>
      <c r="AR21" s="248">
        <f>Existing!BE21+Expansion!CJ21</f>
        <v>13.080470992609044</v>
      </c>
      <c r="AS21" s="248">
        <f>Existing!BF21+Expansion!CK21</f>
        <v>13.132080412461224</v>
      </c>
      <c r="AT21" s="248">
        <f>Existing!BG21+Expansion!CL21</f>
        <v>13.18472202071045</v>
      </c>
      <c r="AU21" s="248">
        <f>Existing!BH21+Expansion!CM21</f>
        <v>13.238416461124658</v>
      </c>
      <c r="AV21" s="248">
        <f>Existing!BI21+Expansion!CN21</f>
        <v>13.293184790347151</v>
      </c>
      <c r="AW21" s="187"/>
    </row>
    <row r="22" spans="1:49" ht="13.5" thickBot="1">
      <c r="A22" s="238"/>
      <c r="B22" s="238"/>
      <c r="C22" s="246"/>
      <c r="D22" s="247"/>
      <c r="E22" s="252" t="s">
        <v>0</v>
      </c>
      <c r="F22" s="248" t="s">
        <v>0</v>
      </c>
      <c r="G22" s="248"/>
      <c r="H22" s="238"/>
      <c r="I22" s="238"/>
      <c r="J22" s="247" t="s">
        <v>607</v>
      </c>
      <c r="K22" s="247" t="s">
        <v>331</v>
      </c>
      <c r="L22" s="248">
        <f>Existing!L22+Expansion!AN19</f>
        <v>6.6654</v>
      </c>
      <c r="M22" s="248">
        <f>Existing!M22+Expansion!AO19</f>
        <v>7.749108</v>
      </c>
      <c r="N22" s="248">
        <f>Existing!N22+Expansion!AP19</f>
        <v>8.83289016</v>
      </c>
      <c r="O22" s="248">
        <f>Existing!O22+Expansion!AQ19</f>
        <v>9.268747963200001</v>
      </c>
      <c r="P22" s="248">
        <f>Existing!P22+Expansion!AR19</f>
        <v>9.726282922464003</v>
      </c>
      <c r="Q22" s="248">
        <f>Existing!Q22+Expansion!AS19</f>
        <v>10.206576580913282</v>
      </c>
      <c r="R22" s="248">
        <f>Existing!R22+Expansion!AT19</f>
        <v>10.710764512531547</v>
      </c>
      <c r="S22" s="248">
        <f>Existing!S22+Expansion!AU19</f>
        <v>11.24003902278218</v>
      </c>
      <c r="T22" s="248">
        <f>Existing!T22+Expansion!AV18</f>
        <v>0.21722564923782003</v>
      </c>
      <c r="U22" s="238"/>
      <c r="V22" s="247"/>
      <c r="W22" s="249" t="s">
        <v>322</v>
      </c>
      <c r="X22" s="362">
        <f aca="true" t="shared" si="14" ref="X22:AF22">+X7/L29</f>
        <v>0.04396594030380804</v>
      </c>
      <c r="Y22" s="362">
        <f t="shared" si="14"/>
        <v>0.04660037445908674</v>
      </c>
      <c r="Z22" s="362">
        <f t="shared" si="14"/>
        <v>0.04929662351255602</v>
      </c>
      <c r="AA22" s="362">
        <f t="shared" si="14"/>
        <v>0.051013991083349614</v>
      </c>
      <c r="AB22" s="362">
        <f t="shared" si="14"/>
        <v>0.05262475231345671</v>
      </c>
      <c r="AC22" s="362">
        <f t="shared" si="14"/>
        <v>0.0538668295016265</v>
      </c>
      <c r="AD22" s="362">
        <f t="shared" si="14"/>
        <v>0.05522800072670987</v>
      </c>
      <c r="AE22" s="362">
        <f t="shared" si="14"/>
        <v>0.05613091905008779</v>
      </c>
      <c r="AF22" s="362">
        <f t="shared" si="14"/>
        <v>0.13099595413701476</v>
      </c>
      <c r="AG22" s="363"/>
      <c r="AH22" s="238"/>
      <c r="AI22" s="238"/>
      <c r="AJ22" s="238"/>
      <c r="AK22" s="238"/>
      <c r="AL22" s="247"/>
      <c r="AM22" s="247"/>
      <c r="AN22" s="255" t="e">
        <f aca="true" t="shared" si="15" ref="AN22:AV22">+AN14+AN19+AN21</f>
        <v>#REF!</v>
      </c>
      <c r="AO22" s="255">
        <f t="shared" si="15"/>
        <v>70.92320110932468</v>
      </c>
      <c r="AP22" s="255">
        <f t="shared" si="15"/>
        <v>80.01501783007359</v>
      </c>
      <c r="AQ22" s="255">
        <f t="shared" si="15"/>
        <v>90.57260943310641</v>
      </c>
      <c r="AR22" s="255">
        <f t="shared" si="15"/>
        <v>106.42973555217156</v>
      </c>
      <c r="AS22" s="255">
        <f t="shared" si="15"/>
        <v>113.02879801046308</v>
      </c>
      <c r="AT22" s="255">
        <f t="shared" si="15"/>
        <v>110.53961404474488</v>
      </c>
      <c r="AU22" s="255">
        <f t="shared" si="15"/>
        <v>118.83272879262826</v>
      </c>
      <c r="AV22" s="255">
        <f t="shared" si="15"/>
        <v>126.16611891278076</v>
      </c>
      <c r="AW22" s="187"/>
    </row>
    <row r="23" spans="1:49" ht="13.5" thickTop="1">
      <c r="A23" s="238"/>
      <c r="B23" s="238"/>
      <c r="C23" s="246"/>
      <c r="D23" s="247" t="s">
        <v>369</v>
      </c>
      <c r="E23" s="248">
        <f>Existing!E24+Expansion!AG23</f>
        <v>1.44</v>
      </c>
      <c r="F23" s="248">
        <f>Existing!F24+Expansion!AH23</f>
        <v>1.5648</v>
      </c>
      <c r="G23" s="248">
        <f>Existing!G24+Expansion!AI23</f>
        <v>1.701696</v>
      </c>
      <c r="H23" s="238"/>
      <c r="I23" s="364">
        <v>0.06</v>
      </c>
      <c r="J23" s="247"/>
      <c r="K23" s="247"/>
      <c r="L23" s="248"/>
      <c r="M23" s="248"/>
      <c r="N23" s="248"/>
      <c r="O23" s="248"/>
      <c r="P23" s="248"/>
      <c r="Q23" s="248"/>
      <c r="R23" s="248"/>
      <c r="S23" s="248"/>
      <c r="T23" s="248"/>
      <c r="U23" s="238"/>
      <c r="V23" s="247"/>
      <c r="W23" s="247"/>
      <c r="X23" s="248"/>
      <c r="Y23" s="248"/>
      <c r="Z23" s="248"/>
      <c r="AA23" s="248"/>
      <c r="AB23" s="248"/>
      <c r="AC23" s="248"/>
      <c r="AD23" s="248"/>
      <c r="AE23" s="248"/>
      <c r="AF23" s="248"/>
      <c r="AG23" s="356"/>
      <c r="AH23" s="238"/>
      <c r="AI23" s="238"/>
      <c r="AJ23" s="238"/>
      <c r="AK23" s="238"/>
      <c r="AL23" s="247"/>
      <c r="AM23" s="247"/>
      <c r="AN23" s="248"/>
      <c r="AO23" s="248"/>
      <c r="AP23" s="248"/>
      <c r="AQ23" s="248"/>
      <c r="AR23" s="248"/>
      <c r="AS23" s="248"/>
      <c r="AT23" s="248"/>
      <c r="AU23" s="248"/>
      <c r="AV23" s="248"/>
      <c r="AW23" s="187"/>
    </row>
    <row r="24" spans="1:49" ht="12.75">
      <c r="A24" s="238"/>
      <c r="B24" s="238"/>
      <c r="C24" s="246"/>
      <c r="D24" s="247"/>
      <c r="E24" s="248"/>
      <c r="F24" s="248"/>
      <c r="G24" s="248"/>
      <c r="H24" s="238"/>
      <c r="I24" s="238"/>
      <c r="J24" s="247" t="s">
        <v>330</v>
      </c>
      <c r="K24" s="249" t="s">
        <v>346</v>
      </c>
      <c r="L24" s="251">
        <f aca="true" t="shared" si="16" ref="L24:T24">+L11+L19+L22</f>
        <v>128.76603007755628</v>
      </c>
      <c r="M24" s="251">
        <f t="shared" si="16"/>
        <v>148.55468247755624</v>
      </c>
      <c r="N24" s="251">
        <f t="shared" si="16"/>
        <v>168.37727649594405</v>
      </c>
      <c r="O24" s="251">
        <f t="shared" si="16"/>
        <v>176.55080143686294</v>
      </c>
      <c r="P24" s="251">
        <f t="shared" si="16"/>
        <v>185.13274224715022</v>
      </c>
      <c r="Q24" s="251">
        <f t="shared" si="16"/>
        <v>194.1439791527207</v>
      </c>
      <c r="R24" s="251">
        <f t="shared" si="16"/>
        <v>203.60649204343397</v>
      </c>
      <c r="S24" s="251">
        <f t="shared" si="16"/>
        <v>213.54342121574453</v>
      </c>
      <c r="T24" s="251">
        <f t="shared" si="16"/>
        <v>11.629726280044515</v>
      </c>
      <c r="U24" s="238"/>
      <c r="V24" s="247"/>
      <c r="W24" s="247" t="s">
        <v>339</v>
      </c>
      <c r="X24" s="248" t="e">
        <f aca="true" t="shared" si="17" ref="X24:AF24">X7/AN11*10</f>
        <v>#REF!</v>
      </c>
      <c r="Y24" s="248">
        <f t="shared" si="17"/>
        <v>10.94319637276634</v>
      </c>
      <c r="Z24" s="248">
        <f t="shared" si="17"/>
        <v>13.120663119364073</v>
      </c>
      <c r="AA24" s="248">
        <f t="shared" si="17"/>
        <v>14.228427815978897</v>
      </c>
      <c r="AB24" s="248">
        <f t="shared" si="17"/>
        <v>15.381887294711241</v>
      </c>
      <c r="AC24" s="248">
        <f t="shared" si="17"/>
        <v>16.501191227708787</v>
      </c>
      <c r="AD24" s="248">
        <f t="shared" si="17"/>
        <v>17.731657951816004</v>
      </c>
      <c r="AE24" s="248">
        <f t="shared" si="17"/>
        <v>18.889027065195584</v>
      </c>
      <c r="AF24" s="248">
        <f t="shared" si="17"/>
        <v>9.602639008941185</v>
      </c>
      <c r="AG24" s="356"/>
      <c r="AH24" s="238"/>
      <c r="AI24" s="238"/>
      <c r="AJ24" s="238"/>
      <c r="AK24" s="238"/>
      <c r="AL24" s="358" t="s">
        <v>121</v>
      </c>
      <c r="AM24" s="256" t="s">
        <v>341</v>
      </c>
      <c r="AN24" s="248"/>
      <c r="AO24" s="248"/>
      <c r="AP24" s="248"/>
      <c r="AQ24" s="248"/>
      <c r="AR24" s="248"/>
      <c r="AS24" s="248"/>
      <c r="AT24" s="248"/>
      <c r="AU24" s="248"/>
      <c r="AV24" s="248"/>
      <c r="AW24" s="187"/>
    </row>
    <row r="25" spans="1:49" ht="12.75">
      <c r="A25" s="238"/>
      <c r="B25" s="238"/>
      <c r="C25" s="246"/>
      <c r="D25" s="250" t="s">
        <v>385</v>
      </c>
      <c r="E25" s="251">
        <f>SUM(E20:E24)</f>
        <v>1.44</v>
      </c>
      <c r="F25" s="251">
        <f>SUM(F20:F24)</f>
        <v>1.5648</v>
      </c>
      <c r="G25" s="251">
        <f>SUM(G20:G24)</f>
        <v>1.701696</v>
      </c>
      <c r="H25" s="238"/>
      <c r="I25" s="238"/>
      <c r="J25" s="247"/>
      <c r="K25" s="258" t="s">
        <v>353</v>
      </c>
      <c r="L25" s="248"/>
      <c r="M25" s="248"/>
      <c r="N25" s="248"/>
      <c r="O25" s="248"/>
      <c r="P25" s="248"/>
      <c r="Q25" s="248"/>
      <c r="R25" s="248"/>
      <c r="S25" s="248"/>
      <c r="T25" s="248"/>
      <c r="U25" s="238"/>
      <c r="V25" s="247"/>
      <c r="W25" s="247"/>
      <c r="X25" s="248"/>
      <c r="Y25" s="248"/>
      <c r="Z25" s="248"/>
      <c r="AA25" s="248"/>
      <c r="AB25" s="248"/>
      <c r="AC25" s="248"/>
      <c r="AD25" s="248"/>
      <c r="AE25" s="248"/>
      <c r="AF25" s="248"/>
      <c r="AG25" s="356"/>
      <c r="AH25" s="238"/>
      <c r="AI25" s="238"/>
      <c r="AJ25" s="238"/>
      <c r="AK25" s="238"/>
      <c r="AL25" s="247"/>
      <c r="AM25" s="247"/>
      <c r="AN25" s="248"/>
      <c r="AO25" s="248"/>
      <c r="AP25" s="248"/>
      <c r="AQ25" s="248"/>
      <c r="AR25" s="248"/>
      <c r="AS25" s="248"/>
      <c r="AT25" s="248"/>
      <c r="AU25" s="248"/>
      <c r="AV25" s="248"/>
      <c r="AW25" s="187"/>
    </row>
    <row r="26" spans="1:49" ht="12.75">
      <c r="A26" s="238"/>
      <c r="B26" s="238"/>
      <c r="C26" s="246"/>
      <c r="D26" s="247"/>
      <c r="E26" s="248"/>
      <c r="F26" s="248"/>
      <c r="G26" s="248"/>
      <c r="H26" s="238"/>
      <c r="I26" s="238"/>
      <c r="J26" s="247"/>
      <c r="K26" s="247"/>
      <c r="L26" s="248"/>
      <c r="M26" s="248"/>
      <c r="N26" s="248"/>
      <c r="O26" s="248"/>
      <c r="P26" s="248"/>
      <c r="Q26" s="248"/>
      <c r="R26" s="248"/>
      <c r="S26" s="248"/>
      <c r="T26" s="248"/>
      <c r="U26" s="238"/>
      <c r="V26" s="247"/>
      <c r="W26" s="249" t="s">
        <v>354</v>
      </c>
      <c r="X26" s="248" t="e">
        <f aca="true" t="shared" si="18" ref="X26:AF26">X18/AN11*10</f>
        <v>#REF!</v>
      </c>
      <c r="Y26" s="248">
        <f t="shared" si="18"/>
        <v>12.30025744217311</v>
      </c>
      <c r="Z26" s="248">
        <f t="shared" si="18"/>
        <v>14.359871135300503</v>
      </c>
      <c r="AA26" s="248">
        <f t="shared" si="18"/>
        <v>15.355675431118508</v>
      </c>
      <c r="AB26" s="248">
        <f t="shared" si="18"/>
        <v>16.40277252909387</v>
      </c>
      <c r="AC26" s="248">
        <f t="shared" si="18"/>
        <v>18.42103220037228</v>
      </c>
      <c r="AD26" s="248">
        <f t="shared" si="18"/>
        <v>19.555506875846326</v>
      </c>
      <c r="AE26" s="248">
        <f t="shared" si="18"/>
        <v>20.621683543024393</v>
      </c>
      <c r="AF26" s="248">
        <f t="shared" si="18"/>
        <v>10.142344403428616</v>
      </c>
      <c r="AG26" s="356"/>
      <c r="AH26" s="238"/>
      <c r="AI26" s="238"/>
      <c r="AJ26" s="238"/>
      <c r="AK26" s="238"/>
      <c r="AL26" s="247">
        <v>1</v>
      </c>
      <c r="AM26" s="247" t="s">
        <v>356</v>
      </c>
      <c r="AN26" s="248">
        <f>Existing!BA26</f>
        <v>3.3645697</v>
      </c>
      <c r="AO26" s="248">
        <f>Existing!BB26+Expansion!CG26</f>
        <v>31.6645697</v>
      </c>
      <c r="AP26" s="248">
        <f>Existing!BC26+Expansion!CH26</f>
        <v>32.7779684</v>
      </c>
      <c r="AQ26" s="248">
        <f>Existing!BD26+Expansion!CI26</f>
        <v>32.7779684</v>
      </c>
      <c r="AR26" s="248">
        <f>Existing!BE26+Expansion!CJ26</f>
        <v>32.7779684</v>
      </c>
      <c r="AS26" s="248">
        <f>Existing!BF26+Expansion!CK26</f>
        <v>32.7779684</v>
      </c>
      <c r="AT26" s="248">
        <f>Existing!BG26+Expansion!CL26</f>
        <v>32.7779684</v>
      </c>
      <c r="AU26" s="248">
        <f>Existing!BH26+Expansion!CM26</f>
        <v>32.7779684</v>
      </c>
      <c r="AV26" s="248">
        <f>Existing!BI26+Expansion!CN26</f>
        <v>32.7779684</v>
      </c>
      <c r="AW26" s="187"/>
    </row>
    <row r="27" spans="1:49" ht="12.75">
      <c r="A27" s="238"/>
      <c r="B27" s="238"/>
      <c r="C27" s="246">
        <f>+C21+1</f>
        <v>3</v>
      </c>
      <c r="D27" s="247" t="s">
        <v>395</v>
      </c>
      <c r="E27" s="248"/>
      <c r="F27" s="248"/>
      <c r="G27" s="248"/>
      <c r="H27" s="238"/>
      <c r="I27" s="238"/>
      <c r="J27" s="247" t="s">
        <v>345</v>
      </c>
      <c r="K27" s="247" t="s">
        <v>371</v>
      </c>
      <c r="L27" s="248"/>
      <c r="M27" s="248"/>
      <c r="N27" s="248"/>
      <c r="O27" s="248"/>
      <c r="P27" s="248"/>
      <c r="Q27" s="248"/>
      <c r="R27" s="248"/>
      <c r="S27" s="248"/>
      <c r="T27" s="248"/>
      <c r="U27" s="238"/>
      <c r="V27" s="247"/>
      <c r="W27" s="247"/>
      <c r="X27" s="248"/>
      <c r="Y27" s="248"/>
      <c r="Z27" s="248"/>
      <c r="AA27" s="248"/>
      <c r="AB27" s="248"/>
      <c r="AC27" s="248"/>
      <c r="AD27" s="248"/>
      <c r="AE27" s="248"/>
      <c r="AF27" s="248"/>
      <c r="AG27" s="356"/>
      <c r="AH27" s="238"/>
      <c r="AI27" s="238"/>
      <c r="AJ27" s="238"/>
      <c r="AK27" s="238"/>
      <c r="AL27" s="247"/>
      <c r="AM27" s="247" t="s">
        <v>251</v>
      </c>
      <c r="AN27" s="248">
        <f>Existing!BA27</f>
        <v>1.2538926925</v>
      </c>
      <c r="AO27" s="248">
        <f>Existing!BB27+Expansion!CG27</f>
        <v>2.9765714603749998</v>
      </c>
      <c r="AP27" s="248">
        <f>Existing!BC27+Expansion!CH27</f>
        <v>4.613116289856249</v>
      </c>
      <c r="AQ27" s="248">
        <f>Existing!BD27+Expansion!CI27</f>
        <v>6.167833877863437</v>
      </c>
      <c r="AR27" s="248">
        <f>Existing!BE27+Expansion!CJ27</f>
        <v>7.644815586470266</v>
      </c>
      <c r="AS27" s="248">
        <f>Existing!BF27+Expansion!CK27</f>
        <v>9.047948209646751</v>
      </c>
      <c r="AT27" s="248">
        <f>Existing!BG27+Expansion!CL27</f>
        <v>10.380924201664413</v>
      </c>
      <c r="AU27" s="248">
        <f>Existing!BH27+Expansion!CM27</f>
        <v>11.647251394081193</v>
      </c>
      <c r="AV27" s="248">
        <f>Existing!BI27+Expansion!CN27</f>
        <v>12.850262226877133</v>
      </c>
      <c r="AW27" s="187"/>
    </row>
    <row r="28" spans="1:49" ht="12.75">
      <c r="A28" s="238"/>
      <c r="B28" s="361">
        <v>0.02</v>
      </c>
      <c r="C28" s="246"/>
      <c r="D28" s="247"/>
      <c r="E28" s="248"/>
      <c r="F28" s="248"/>
      <c r="G28" s="248"/>
      <c r="H28" s="238"/>
      <c r="I28" s="238"/>
      <c r="J28" s="247"/>
      <c r="K28" s="247" t="s">
        <v>589</v>
      </c>
      <c r="L28" s="248">
        <f>Existing!L28+Expansion!AN27</f>
        <v>141.95999999999998</v>
      </c>
      <c r="M28" s="248">
        <f>Existing!M28+Expansion!AO27</f>
        <v>163.8072</v>
      </c>
      <c r="N28" s="248">
        <f>Existing!N28+Expansion!AP27</f>
        <v>185.659344</v>
      </c>
      <c r="O28" s="248">
        <f>Existing!O28+Expansion!AQ27</f>
        <v>194.55653088000003</v>
      </c>
      <c r="P28" s="248">
        <f>Existing!P28+Expansion!AR27</f>
        <v>203.89086149760004</v>
      </c>
      <c r="Q28" s="248">
        <f>Existing!Q28+Expansion!AS27</f>
        <v>213.68403872755204</v>
      </c>
      <c r="R28" s="248">
        <f>Existing!R28+Expansion!AT27</f>
        <v>223.95884750210305</v>
      </c>
      <c r="S28" s="248">
        <f>Existing!S28+Expansion!AU27</f>
        <v>234.73920885214514</v>
      </c>
      <c r="T28" s="248">
        <f>Existing!T28+Expansion!AV25</f>
        <v>14.481709949188003</v>
      </c>
      <c r="U28" s="238"/>
      <c r="V28" s="247"/>
      <c r="W28" s="247" t="s">
        <v>372</v>
      </c>
      <c r="X28" s="248">
        <f aca="true" t="shared" si="19" ref="X28:AF28">+L31/L33</f>
        <v>7.366817377132161</v>
      </c>
      <c r="Y28" s="248">
        <f t="shared" si="19"/>
        <v>9.08394864541597</v>
      </c>
      <c r="Z28" s="248">
        <f t="shared" si="19"/>
        <v>12.518134821173224</v>
      </c>
      <c r="AA28" s="248">
        <f t="shared" si="19"/>
        <v>16.640193559186347</v>
      </c>
      <c r="AB28" s="248">
        <f t="shared" si="19"/>
        <v>23.939531626959944</v>
      </c>
      <c r="AC28" s="248">
        <f t="shared" si="19"/>
        <v>40.283591444053684</v>
      </c>
      <c r="AD28" s="248">
        <f t="shared" si="19"/>
        <v>109.09135254227917</v>
      </c>
      <c r="AE28" s="248" t="e">
        <f t="shared" si="19"/>
        <v>#DIV/0!</v>
      </c>
      <c r="AF28" s="248" t="e">
        <f t="shared" si="19"/>
        <v>#DIV/0!</v>
      </c>
      <c r="AG28" s="356"/>
      <c r="AH28" s="238"/>
      <c r="AI28" s="238"/>
      <c r="AJ28" s="238"/>
      <c r="AK28" s="238"/>
      <c r="AL28" s="247"/>
      <c r="AM28" s="250" t="s">
        <v>374</v>
      </c>
      <c r="AN28" s="251">
        <f aca="true" t="shared" si="20" ref="AN28:AV28">+AN26-AN27</f>
        <v>2.1106770075</v>
      </c>
      <c r="AO28" s="251">
        <f t="shared" si="20"/>
        <v>28.687998239625003</v>
      </c>
      <c r="AP28" s="251">
        <f t="shared" si="20"/>
        <v>28.164852110143748</v>
      </c>
      <c r="AQ28" s="251">
        <f t="shared" si="20"/>
        <v>26.610134522136562</v>
      </c>
      <c r="AR28" s="251">
        <f t="shared" si="20"/>
        <v>25.133152813529733</v>
      </c>
      <c r="AS28" s="251">
        <f t="shared" si="20"/>
        <v>23.730020190353248</v>
      </c>
      <c r="AT28" s="251">
        <f t="shared" si="20"/>
        <v>22.397044198335585</v>
      </c>
      <c r="AU28" s="251">
        <f t="shared" si="20"/>
        <v>21.130717005918804</v>
      </c>
      <c r="AV28" s="251">
        <f t="shared" si="20"/>
        <v>19.927706173122864</v>
      </c>
      <c r="AW28" s="187"/>
    </row>
    <row r="29" spans="1:49" ht="12.75">
      <c r="A29" s="238"/>
      <c r="B29" s="238"/>
      <c r="C29" s="246"/>
      <c r="D29" s="247" t="s">
        <v>239</v>
      </c>
      <c r="E29" s="248">
        <f>Existing!E30+Expansion!AG30</f>
        <v>0.6839999999999999</v>
      </c>
      <c r="F29" s="248">
        <f>Existing!F30+Expansion!AH30</f>
        <v>0.7482000000000001</v>
      </c>
      <c r="G29" s="248">
        <f>Existing!G30+Expansion!AI30</f>
        <v>0.8186100000000001</v>
      </c>
      <c r="H29" s="238"/>
      <c r="I29" s="238"/>
      <c r="J29" s="247"/>
      <c r="K29" s="247"/>
      <c r="L29" s="251">
        <f aca="true" t="shared" si="21" ref="L29:T29">SUM(L26:L28)</f>
        <v>141.95999999999998</v>
      </c>
      <c r="M29" s="251">
        <f t="shared" si="21"/>
        <v>163.8072</v>
      </c>
      <c r="N29" s="251">
        <f t="shared" si="21"/>
        <v>185.659344</v>
      </c>
      <c r="O29" s="251">
        <f t="shared" si="21"/>
        <v>194.55653088000003</v>
      </c>
      <c r="P29" s="251">
        <f t="shared" si="21"/>
        <v>203.89086149760004</v>
      </c>
      <c r="Q29" s="251">
        <f t="shared" si="21"/>
        <v>213.68403872755204</v>
      </c>
      <c r="R29" s="251">
        <f t="shared" si="21"/>
        <v>223.95884750210305</v>
      </c>
      <c r="S29" s="251">
        <f t="shared" si="21"/>
        <v>234.73920885214514</v>
      </c>
      <c r="T29" s="251">
        <f t="shared" si="21"/>
        <v>14.481709949188003</v>
      </c>
      <c r="U29" s="238"/>
      <c r="V29" s="242"/>
      <c r="W29" s="242"/>
      <c r="X29" s="365"/>
      <c r="Y29" s="365"/>
      <c r="Z29" s="365"/>
      <c r="AA29" s="365"/>
      <c r="AB29" s="365"/>
      <c r="AC29" s="365"/>
      <c r="AD29" s="365"/>
      <c r="AE29" s="365"/>
      <c r="AF29" s="365"/>
      <c r="AG29" s="356"/>
      <c r="AH29" s="238"/>
      <c r="AI29" s="238"/>
      <c r="AJ29" s="238"/>
      <c r="AK29" s="238"/>
      <c r="AL29" s="247"/>
      <c r="AM29" s="247"/>
      <c r="AN29" s="248"/>
      <c r="AO29" s="248"/>
      <c r="AP29" s="248"/>
      <c r="AQ29" s="248"/>
      <c r="AR29" s="248"/>
      <c r="AS29" s="248"/>
      <c r="AT29" s="248"/>
      <c r="AU29" s="248"/>
      <c r="AV29" s="248"/>
      <c r="AW29" s="187"/>
    </row>
    <row r="30" spans="1:49" ht="12.75">
      <c r="A30" s="238"/>
      <c r="B30" s="238"/>
      <c r="C30" s="246"/>
      <c r="D30" s="247" t="s">
        <v>414</v>
      </c>
      <c r="E30" s="248">
        <f>Existing!E31+Expansion!AG31</f>
        <v>0.18</v>
      </c>
      <c r="F30" s="248">
        <f>Existing!F31+Expansion!AH31</f>
        <v>0.198</v>
      </c>
      <c r="G30" s="248">
        <f>Existing!G31+Expansion!AI31</f>
        <v>0.21780000000000002</v>
      </c>
      <c r="H30" s="238"/>
      <c r="I30" s="238"/>
      <c r="J30" s="247" t="s">
        <v>370</v>
      </c>
      <c r="K30" s="247" t="s">
        <v>397</v>
      </c>
      <c r="L30" s="248"/>
      <c r="M30" s="248"/>
      <c r="N30" s="248"/>
      <c r="O30" s="248"/>
      <c r="P30" s="248"/>
      <c r="Q30" s="248"/>
      <c r="R30" s="248"/>
      <c r="S30" s="248"/>
      <c r="T30" s="248"/>
      <c r="U30" s="238"/>
      <c r="V30" s="238"/>
      <c r="W30" s="238"/>
      <c r="X30" s="357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47">
        <f>+AL26+1</f>
        <v>2</v>
      </c>
      <c r="AM30" s="247" t="s">
        <v>556</v>
      </c>
      <c r="AN30" s="248">
        <f>+Existing!BA30</f>
        <v>1.1133987</v>
      </c>
      <c r="AO30" s="248">
        <f>+Existing!BB30</f>
        <v>1.1133987</v>
      </c>
      <c r="AP30" s="248">
        <f>+Existing!BC30</f>
        <v>1.1133987</v>
      </c>
      <c r="AQ30" s="248">
        <f>+Existing!BD30</f>
        <v>1.1133987</v>
      </c>
      <c r="AR30" s="248">
        <f>+Existing!BE30</f>
        <v>1.1133987</v>
      </c>
      <c r="AS30" s="248">
        <f>+Existing!BF30</f>
        <v>1.1133987</v>
      </c>
      <c r="AT30" s="248">
        <f>+Existing!BG30</f>
        <v>1.1133987</v>
      </c>
      <c r="AU30" s="248">
        <f>+Existing!BH30</f>
        <v>1.1133987</v>
      </c>
      <c r="AV30" s="248">
        <f>+Existing!BI30</f>
        <v>1.1133987</v>
      </c>
      <c r="AW30" s="187"/>
    </row>
    <row r="31" spans="1:49" ht="12.75">
      <c r="A31" s="238"/>
      <c r="B31" s="238"/>
      <c r="C31" s="246"/>
      <c r="D31" s="247"/>
      <c r="E31" s="248"/>
      <c r="F31" s="248"/>
      <c r="G31" s="248"/>
      <c r="H31" s="238"/>
      <c r="I31" s="238"/>
      <c r="J31" s="247"/>
      <c r="K31" s="249" t="s">
        <v>400</v>
      </c>
      <c r="L31" s="248">
        <f aca="true" t="shared" si="22" ref="L31:T31">+L29-L24</f>
        <v>13.1939699224437</v>
      </c>
      <c r="M31" s="248">
        <f t="shared" si="22"/>
        <v>15.252517522443753</v>
      </c>
      <c r="N31" s="248">
        <f t="shared" si="22"/>
        <v>17.28206750405596</v>
      </c>
      <c r="O31" s="248">
        <f t="shared" si="22"/>
        <v>18.005729443137085</v>
      </c>
      <c r="P31" s="248">
        <f t="shared" si="22"/>
        <v>18.758119250449823</v>
      </c>
      <c r="Q31" s="248">
        <f t="shared" si="22"/>
        <v>19.540059574831332</v>
      </c>
      <c r="R31" s="248">
        <f t="shared" si="22"/>
        <v>20.35235545866908</v>
      </c>
      <c r="S31" s="248">
        <f t="shared" si="22"/>
        <v>21.19578763640061</v>
      </c>
      <c r="T31" s="248">
        <f t="shared" si="22"/>
        <v>2.851983669143488</v>
      </c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47"/>
      <c r="AM31" s="247"/>
      <c r="AN31" s="248"/>
      <c r="AO31" s="248"/>
      <c r="AP31" s="248"/>
      <c r="AQ31" s="248"/>
      <c r="AR31" s="248"/>
      <c r="AS31" s="248"/>
      <c r="AT31" s="248"/>
      <c r="AU31" s="248"/>
      <c r="AV31" s="248"/>
      <c r="AW31" s="187"/>
    </row>
    <row r="32" spans="1:49" ht="12.75">
      <c r="A32" s="238"/>
      <c r="B32" s="238"/>
      <c r="C32" s="246"/>
      <c r="D32" s="250" t="s">
        <v>429</v>
      </c>
      <c r="E32" s="251">
        <f>SUM(E26:E31)</f>
        <v>0.8639999999999999</v>
      </c>
      <c r="F32" s="251">
        <f>SUM(F26:F31)</f>
        <v>0.9462000000000002</v>
      </c>
      <c r="G32" s="251">
        <f>SUM(G26:G31)</f>
        <v>1.03641</v>
      </c>
      <c r="H32" s="238"/>
      <c r="I32" s="238"/>
      <c r="J32" s="247"/>
      <c r="K32" s="247"/>
      <c r="L32" s="248"/>
      <c r="M32" s="248"/>
      <c r="N32" s="248"/>
      <c r="O32" s="248"/>
      <c r="P32" s="248"/>
      <c r="Q32" s="248"/>
      <c r="R32" s="248"/>
      <c r="S32" s="248"/>
      <c r="T32" s="248"/>
      <c r="U32" s="238"/>
      <c r="V32" s="238"/>
      <c r="W32" s="238"/>
      <c r="X32" s="238"/>
      <c r="Y32" s="238"/>
      <c r="Z32" s="238"/>
      <c r="AA32" s="238"/>
      <c r="AB32" s="366"/>
      <c r="AC32" s="366"/>
      <c r="AD32" s="366"/>
      <c r="AE32" s="366"/>
      <c r="AF32" s="366"/>
      <c r="AG32" s="366"/>
      <c r="AH32" s="238"/>
      <c r="AI32" s="238"/>
      <c r="AJ32" s="238"/>
      <c r="AK32" s="238"/>
      <c r="AL32" s="247">
        <f>+AL30+1</f>
        <v>3</v>
      </c>
      <c r="AM32" s="367" t="s">
        <v>399</v>
      </c>
      <c r="AN32" s="248"/>
      <c r="AO32" s="248"/>
      <c r="AP32" s="248"/>
      <c r="AQ32" s="248"/>
      <c r="AR32" s="248"/>
      <c r="AS32" s="248"/>
      <c r="AT32" s="248"/>
      <c r="AU32" s="248"/>
      <c r="AV32" s="248"/>
      <c r="AW32" s="187"/>
    </row>
    <row r="33" spans="1:49" ht="12.75">
      <c r="A33" s="238"/>
      <c r="B33" s="238"/>
      <c r="C33" s="246"/>
      <c r="D33" s="247"/>
      <c r="E33" s="248"/>
      <c r="F33" s="248"/>
      <c r="G33" s="248"/>
      <c r="H33" s="238"/>
      <c r="I33" s="238"/>
      <c r="J33" s="247" t="s">
        <v>396</v>
      </c>
      <c r="K33" s="247" t="s">
        <v>583</v>
      </c>
      <c r="L33" s="248">
        <f>Existing!L34+Expansion!AN34</f>
        <v>1.7909999999999997</v>
      </c>
      <c r="M33" s="248">
        <f>Existing!M34+Expansion!AO34</f>
        <v>1.6790625</v>
      </c>
      <c r="N33" s="248">
        <f>Existing!N34+Expansion!AP34</f>
        <v>1.3805625000000001</v>
      </c>
      <c r="O33" s="248">
        <f>Existing!O34+Expansion!AQ34</f>
        <v>1.0820625000000006</v>
      </c>
      <c r="P33" s="248">
        <f>Existing!P34+Expansion!AR34</f>
        <v>0.7835625000000009</v>
      </c>
      <c r="Q33" s="248">
        <f>Existing!Q34+Expansion!AS34</f>
        <v>0.485062500000001</v>
      </c>
      <c r="R33" s="248">
        <f>Existing!R34+Expansion!AT34</f>
        <v>0.18656250000000113</v>
      </c>
      <c r="S33" s="248">
        <f>Existing!S34+Expansion!AU34</f>
        <v>0</v>
      </c>
      <c r="T33" s="248">
        <f>Existing!T34+Expansion!AV33</f>
        <v>0</v>
      </c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47"/>
      <c r="AM33" s="247"/>
      <c r="AN33" s="248"/>
      <c r="AO33" s="248"/>
      <c r="AP33" s="248"/>
      <c r="AQ33" s="248"/>
      <c r="AR33" s="248"/>
      <c r="AS33" s="248"/>
      <c r="AT33" s="248"/>
      <c r="AU33" s="248"/>
      <c r="AV33" s="248"/>
      <c r="AW33" s="187"/>
    </row>
    <row r="34" spans="1:49" ht="12.75">
      <c r="A34" s="238"/>
      <c r="B34" s="238"/>
      <c r="C34" s="246">
        <f>+C27+1</f>
        <v>4</v>
      </c>
      <c r="D34" s="247" t="s">
        <v>329</v>
      </c>
      <c r="E34" s="248"/>
      <c r="F34" s="248"/>
      <c r="G34" s="248"/>
      <c r="H34" s="238"/>
      <c r="I34" s="238"/>
      <c r="J34" s="247"/>
      <c r="K34" s="247" t="s">
        <v>590</v>
      </c>
      <c r="L34" s="248">
        <f>Existing!L36+Expansion!AN35</f>
        <v>1.7858136249999996</v>
      </c>
      <c r="M34" s="248">
        <f>Existing!M36+Expansion!AO35</f>
        <v>2.076220625</v>
      </c>
      <c r="N34" s="248">
        <f>Existing!N36+Expansion!AP35</f>
        <v>2.3666944500000002</v>
      </c>
      <c r="O34" s="248">
        <f>Existing!O36+Expansion!AQ35</f>
        <v>2.3666944500000002</v>
      </c>
      <c r="P34" s="248">
        <f>Existing!P36+Expansion!AR35</f>
        <v>2.3666944500000002</v>
      </c>
      <c r="Q34" s="248">
        <f>Existing!Q36+Expansion!AS35</f>
        <v>2.3666944500000002</v>
      </c>
      <c r="R34" s="248">
        <f>Existing!R36+Expansion!AT35</f>
        <v>2.3666944500000002</v>
      </c>
      <c r="S34" s="248">
        <f>Existing!S36+Expansion!AU35</f>
        <v>2.3666944500000002</v>
      </c>
      <c r="T34" s="248">
        <f>Existing!T36+Expansion!AV34</f>
        <v>0</v>
      </c>
      <c r="U34" s="238"/>
      <c r="V34" s="238"/>
      <c r="W34" s="238"/>
      <c r="X34" s="366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47"/>
      <c r="AM34" s="247" t="s">
        <v>409</v>
      </c>
      <c r="AN34" s="248">
        <f>+Existing!BA34</f>
        <v>0.02647597243765626</v>
      </c>
      <c r="AO34" s="248">
        <f>Expansion!CG33+Existing!BB34</f>
        <v>14.867449112437656</v>
      </c>
      <c r="AP34" s="248">
        <f>Expansion!CH33+Existing!BC34</f>
        <v>17.330996035099847</v>
      </c>
      <c r="AQ34" s="248">
        <f>Expansion!CI33+Existing!BD34</f>
        <v>19.795784705801843</v>
      </c>
      <c r="AR34" s="248">
        <f>Expansion!CJ33+Existing!BE34</f>
        <v>19.79634689991788</v>
      </c>
      <c r="AS34" s="248">
        <f>Expansion!CK33+Existing!BF34</f>
        <v>19.796920337916237</v>
      </c>
      <c r="AT34" s="248">
        <f>Expansion!CL33+Existing!BG34</f>
        <v>19.79750524467456</v>
      </c>
      <c r="AU34" s="248">
        <f>Expansion!CM33+Existing!BH34</f>
        <v>19.798101849568052</v>
      </c>
      <c r="AV34" s="248">
        <f>Expansion!CN33+Existing!BI34</f>
        <v>19.798710386559414</v>
      </c>
      <c r="AW34" s="187"/>
    </row>
    <row r="35" spans="1:49" ht="12.75">
      <c r="A35" s="238"/>
      <c r="B35" s="238"/>
      <c r="C35" s="246"/>
      <c r="D35" s="247"/>
      <c r="E35" s="248"/>
      <c r="F35" s="248"/>
      <c r="G35" s="248"/>
      <c r="H35" s="238"/>
      <c r="I35" s="238"/>
      <c r="J35" s="247"/>
      <c r="K35" s="247"/>
      <c r="L35" s="248"/>
      <c r="M35" s="248"/>
      <c r="N35" s="248"/>
      <c r="O35" s="248"/>
      <c r="P35" s="248"/>
      <c r="Q35" s="248"/>
      <c r="R35" s="248"/>
      <c r="S35" s="248"/>
      <c r="T35" s="24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47"/>
      <c r="AM35" s="247" t="s">
        <v>420</v>
      </c>
      <c r="AN35" s="248">
        <f>+Existing!BA35</f>
        <v>0.515</v>
      </c>
      <c r="AO35" s="248">
        <f>Expansion!CG34+Existing!BB35</f>
        <v>32.9253</v>
      </c>
      <c r="AP35" s="248">
        <f>Expansion!CH34+Existing!BC35</f>
        <v>38.335806</v>
      </c>
      <c r="AQ35" s="248">
        <f>Expansion!CI34+Existing!BD35</f>
        <v>43.74652212000001</v>
      </c>
      <c r="AR35" s="248">
        <f>Expansion!CJ34+Existing!BE35</f>
        <v>43.75745256240001</v>
      </c>
      <c r="AS35" s="248">
        <f>Expansion!CK34+Existing!BF35</f>
        <v>43.76860161364801</v>
      </c>
      <c r="AT35" s="248">
        <f>Expansion!CL34+Existing!BG35</f>
        <v>43.77997364592097</v>
      </c>
      <c r="AU35" s="248">
        <f>Expansion!CM34+Existing!BH35</f>
        <v>43.79157311883939</v>
      </c>
      <c r="AV35" s="248">
        <f>Expansion!CN34+Existing!BI35</f>
        <v>43.80340458121618</v>
      </c>
      <c r="AW35" s="187"/>
    </row>
    <row r="36" spans="1:49" ht="12.75">
      <c r="A36" s="238"/>
      <c r="B36" s="238"/>
      <c r="C36" s="246"/>
      <c r="D36" s="247" t="s">
        <v>443</v>
      </c>
      <c r="E36" s="248">
        <f>Existing!E37</f>
        <v>0.0105533850375</v>
      </c>
      <c r="F36" s="248">
        <f>Expansion!AG37+Existing!F37</f>
        <v>0.098081054289375</v>
      </c>
      <c r="G36" s="248">
        <f>Expansion!AH37+Existing!G37</f>
        <v>0.09863510700384374</v>
      </c>
      <c r="H36" s="238"/>
      <c r="I36" s="238"/>
      <c r="J36" s="247" t="s">
        <v>415</v>
      </c>
      <c r="K36" s="247" t="s">
        <v>256</v>
      </c>
      <c r="L36" s="248">
        <f>Existing!L38+Expansion!AN37</f>
        <v>1.7307144924999998</v>
      </c>
      <c r="M36" s="248">
        <f>Existing!M38+Expansion!AO37</f>
        <v>1.6441787678749997</v>
      </c>
      <c r="N36" s="248">
        <f>Existing!N38+Expansion!AP37</f>
        <v>1.5619698294812498</v>
      </c>
      <c r="O36" s="248">
        <f>Existing!O38+Expansion!AQ37</f>
        <v>1.4838713380071873</v>
      </c>
      <c r="P36" s="248">
        <f>Existing!P38+Expansion!AR37</f>
        <v>1.4096777711068278</v>
      </c>
      <c r="Q36" s="248">
        <f>Existing!Q38+Expansion!AS37</f>
        <v>1.3391938825514864</v>
      </c>
      <c r="R36" s="248">
        <f>Existing!R38+Expansion!AT37</f>
        <v>1.272234188423912</v>
      </c>
      <c r="S36" s="248">
        <f>Existing!S38+Expansion!AU37</f>
        <v>1.2086224790027162</v>
      </c>
      <c r="T36" s="248">
        <f>Existing!T38+Expansion!AV36</f>
        <v>0.10662127792875273</v>
      </c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47"/>
      <c r="AM36" s="247" t="s">
        <v>425</v>
      </c>
      <c r="AN36" s="248">
        <f>+Existing!BA36</f>
        <v>7.150255994591129</v>
      </c>
      <c r="AO36" s="248">
        <f>Expansion!CG35+Existing!BB36-Expansion!$BT$39</f>
        <v>14.682747725310632</v>
      </c>
      <c r="AP36" s="248">
        <f>Expansion!CH35+Existing!BC36-Expansion!$BT$39</f>
        <v>17.698886235943846</v>
      </c>
      <c r="AQ36" s="248">
        <f>Expansion!CI35+Existing!BD36-Expansion!$BT$39</f>
        <v>22.0973525638041</v>
      </c>
      <c r="AR36" s="248">
        <f>Expansion!CJ35+Existing!BE36-Expansion!$BT$39</f>
        <v>29.580862921032782</v>
      </c>
      <c r="AS36" s="248">
        <f>Expansion!CK35+Existing!BF36-Expansion!$BT$39</f>
        <v>37.731448582648596</v>
      </c>
      <c r="AT36" s="248">
        <f>Expansion!CL35+Existing!BG36-Expansion!$BT$39</f>
        <v>46.52259900069884</v>
      </c>
      <c r="AU36" s="248">
        <f>Expansion!CM35+Existing!BH36-Expansion!$BT$39</f>
        <v>56.028346500584775</v>
      </c>
      <c r="AV36" s="248">
        <f>Expansion!CN35+Existing!BI36-Expansion!$BT$39</f>
        <v>69.50997912431073</v>
      </c>
      <c r="AW36" s="187"/>
    </row>
    <row r="37" spans="1:49" ht="12.75">
      <c r="A37" s="238"/>
      <c r="B37" s="238" t="s">
        <v>0</v>
      </c>
      <c r="C37" s="246"/>
      <c r="D37" s="247" t="s">
        <v>447</v>
      </c>
      <c r="E37" s="248">
        <f>Existing!E38+Expansion!AG37</f>
        <v>0.09227669251875</v>
      </c>
      <c r="F37" s="248">
        <f>Existing!F38+Expansion!AH37</f>
        <v>0.091749023266875</v>
      </c>
      <c r="G37" s="248">
        <f>Existing!G38+Expansion!AI37</f>
        <v>0.0912741209401875</v>
      </c>
      <c r="H37" s="238"/>
      <c r="I37" s="238"/>
      <c r="J37" s="247"/>
      <c r="K37" s="247"/>
      <c r="L37" s="248"/>
      <c r="M37" s="248"/>
      <c r="N37" s="248"/>
      <c r="O37" s="248"/>
      <c r="P37" s="248"/>
      <c r="Q37" s="248"/>
      <c r="R37" s="248"/>
      <c r="S37" s="248"/>
      <c r="T37" s="24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47"/>
      <c r="AM37" s="247"/>
      <c r="AN37" s="251">
        <f aca="true" t="shared" si="23" ref="AN37:AV37">SUM(AN34:AN36)</f>
        <v>7.691731967028785</v>
      </c>
      <c r="AO37" s="251">
        <f t="shared" si="23"/>
        <v>62.47549683774829</v>
      </c>
      <c r="AP37" s="251">
        <f t="shared" si="23"/>
        <v>73.3656882710437</v>
      </c>
      <c r="AQ37" s="251">
        <f t="shared" si="23"/>
        <v>85.63965938960595</v>
      </c>
      <c r="AR37" s="251">
        <f t="shared" si="23"/>
        <v>93.13466238335067</v>
      </c>
      <c r="AS37" s="251">
        <f t="shared" si="23"/>
        <v>101.29697053421285</v>
      </c>
      <c r="AT37" s="251">
        <f t="shared" si="23"/>
        <v>110.10007789129438</v>
      </c>
      <c r="AU37" s="251">
        <f t="shared" si="23"/>
        <v>119.61802146899221</v>
      </c>
      <c r="AV37" s="251">
        <f t="shared" si="23"/>
        <v>133.11209409208632</v>
      </c>
      <c r="AW37" s="187"/>
    </row>
    <row r="38" spans="1:49" ht="15.75">
      <c r="A38" s="238"/>
      <c r="B38" s="238"/>
      <c r="C38" s="246"/>
      <c r="D38" s="56" t="s">
        <v>605</v>
      </c>
      <c r="E38" s="248">
        <f>+Expansion!AG38</f>
        <v>0.84</v>
      </c>
      <c r="F38" s="248">
        <f>+Expansion!AH38</f>
        <v>0.96</v>
      </c>
      <c r="G38" s="248">
        <f>+Expansion!AI38</f>
        <v>1.08</v>
      </c>
      <c r="H38" s="238"/>
      <c r="I38" s="238"/>
      <c r="J38" s="247"/>
      <c r="K38" s="247"/>
      <c r="L38" s="248"/>
      <c r="M38" s="248"/>
      <c r="N38" s="248"/>
      <c r="O38" s="248"/>
      <c r="P38" s="248"/>
      <c r="Q38" s="248"/>
      <c r="R38" s="248"/>
      <c r="S38" s="248"/>
      <c r="T38" s="24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47"/>
      <c r="AM38" s="247"/>
      <c r="AN38" s="248"/>
      <c r="AO38" s="248"/>
      <c r="AP38" s="248"/>
      <c r="AQ38" s="248"/>
      <c r="AR38" s="248"/>
      <c r="AS38" s="248"/>
      <c r="AT38" s="248"/>
      <c r="AU38" s="248"/>
      <c r="AV38" s="248"/>
      <c r="AW38" s="187"/>
    </row>
    <row r="39" spans="1:49" ht="15.75">
      <c r="A39" s="238"/>
      <c r="B39" s="238" t="s">
        <v>0</v>
      </c>
      <c r="C39" s="246"/>
      <c r="D39" s="56" t="s">
        <v>606</v>
      </c>
      <c r="E39" s="248">
        <f>+Expansion!AG39</f>
        <v>0</v>
      </c>
      <c r="F39" s="248">
        <f>+Expansion!AH39</f>
        <v>0</v>
      </c>
      <c r="G39" s="248">
        <f>+Expansion!AI39</f>
        <v>0</v>
      </c>
      <c r="H39" s="238"/>
      <c r="I39" s="238"/>
      <c r="J39" s="247" t="s">
        <v>444</v>
      </c>
      <c r="K39" s="247" t="s">
        <v>453</v>
      </c>
      <c r="L39" s="248">
        <f aca="true" t="shared" si="24" ref="L39:T39">+L31-SUM(L32:L38)</f>
        <v>7.886441804943701</v>
      </c>
      <c r="M39" s="248">
        <f t="shared" si="24"/>
        <v>9.853055629568754</v>
      </c>
      <c r="N39" s="248">
        <f t="shared" si="24"/>
        <v>11.97284072457471</v>
      </c>
      <c r="O39" s="248">
        <f t="shared" si="24"/>
        <v>13.073101155129898</v>
      </c>
      <c r="P39" s="248">
        <f t="shared" si="24"/>
        <v>14.198184529342996</v>
      </c>
      <c r="Q39" s="248">
        <f t="shared" si="24"/>
        <v>15.349108742279844</v>
      </c>
      <c r="R39" s="248">
        <f t="shared" si="24"/>
        <v>16.526864320245167</v>
      </c>
      <c r="S39" s="248">
        <f t="shared" si="24"/>
        <v>17.620470707397892</v>
      </c>
      <c r="T39" s="248">
        <f t="shared" si="24"/>
        <v>2.7453623912147354</v>
      </c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47"/>
      <c r="AM39" s="247"/>
      <c r="AN39" s="248"/>
      <c r="AO39" s="248"/>
      <c r="AP39" s="248"/>
      <c r="AQ39" s="248"/>
      <c r="AR39" s="248"/>
      <c r="AS39" s="248"/>
      <c r="AT39" s="248"/>
      <c r="AU39" s="248"/>
      <c r="AV39" s="248"/>
      <c r="AW39" s="187"/>
    </row>
    <row r="40" spans="1:49" ht="12.75">
      <c r="A40" s="238"/>
      <c r="B40" s="238"/>
      <c r="C40" s="246"/>
      <c r="D40" s="247"/>
      <c r="E40" s="248"/>
      <c r="F40" s="248"/>
      <c r="G40" s="248"/>
      <c r="H40" s="238"/>
      <c r="I40" s="364"/>
      <c r="J40" s="247"/>
      <c r="K40" s="247"/>
      <c r="L40" s="248"/>
      <c r="M40" s="248"/>
      <c r="N40" s="248"/>
      <c r="O40" s="248"/>
      <c r="P40" s="248"/>
      <c r="Q40" s="248"/>
      <c r="R40" s="248"/>
      <c r="S40" s="248"/>
      <c r="T40" s="24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47">
        <f>+AL32+1</f>
        <v>4</v>
      </c>
      <c r="AM40" s="247" t="s">
        <v>382</v>
      </c>
      <c r="AN40" s="248">
        <v>0</v>
      </c>
      <c r="AO40" s="248">
        <f aca="true" t="shared" si="25" ref="AO40:AV40">+AN40-Y16</f>
        <v>0</v>
      </c>
      <c r="AP40" s="248">
        <f t="shared" si="25"/>
        <v>0</v>
      </c>
      <c r="AQ40" s="248">
        <f t="shared" si="25"/>
        <v>0</v>
      </c>
      <c r="AR40" s="248">
        <f t="shared" si="25"/>
        <v>0</v>
      </c>
      <c r="AS40" s="248">
        <f t="shared" si="25"/>
        <v>0</v>
      </c>
      <c r="AT40" s="248">
        <f t="shared" si="25"/>
        <v>0</v>
      </c>
      <c r="AU40" s="248">
        <f t="shared" si="25"/>
        <v>0</v>
      </c>
      <c r="AV40" s="248">
        <f t="shared" si="25"/>
        <v>0</v>
      </c>
      <c r="AW40" s="187"/>
    </row>
    <row r="41" spans="1:49" ht="13.5" thickBot="1">
      <c r="A41" s="238"/>
      <c r="B41" s="238"/>
      <c r="C41" s="246"/>
      <c r="D41" s="250" t="s">
        <v>456</v>
      </c>
      <c r="E41" s="251">
        <f>SUM(E33:E40)</f>
        <v>0.9428300775562499</v>
      </c>
      <c r="F41" s="251">
        <f>SUM(F33:F40)</f>
        <v>1.14983007755625</v>
      </c>
      <c r="G41" s="251">
        <f>SUM(G33:G40)</f>
        <v>1.2699092279440314</v>
      </c>
      <c r="H41" s="238"/>
      <c r="I41" s="238"/>
      <c r="J41" s="247" t="s">
        <v>452</v>
      </c>
      <c r="K41" s="247" t="s">
        <v>270</v>
      </c>
      <c r="L41" s="248">
        <v>0</v>
      </c>
      <c r="M41" s="248">
        <f aca="true" t="shared" si="26" ref="M41:T41">+L41</f>
        <v>0</v>
      </c>
      <c r="N41" s="248">
        <f t="shared" si="26"/>
        <v>0</v>
      </c>
      <c r="O41" s="248">
        <f t="shared" si="26"/>
        <v>0</v>
      </c>
      <c r="P41" s="248">
        <f t="shared" si="26"/>
        <v>0</v>
      </c>
      <c r="Q41" s="248">
        <f t="shared" si="26"/>
        <v>0</v>
      </c>
      <c r="R41" s="248">
        <f t="shared" si="26"/>
        <v>0</v>
      </c>
      <c r="S41" s="248">
        <f t="shared" si="26"/>
        <v>0</v>
      </c>
      <c r="T41" s="248">
        <f t="shared" si="26"/>
        <v>0</v>
      </c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368"/>
      <c r="AI41" s="238"/>
      <c r="AJ41" s="238"/>
      <c r="AK41" s="238"/>
      <c r="AL41" s="242"/>
      <c r="AM41" s="242"/>
      <c r="AN41" s="255">
        <f aca="true" t="shared" si="27" ref="AN41:AV41">+AN28+AN30+AN37+AN40</f>
        <v>10.915807674528786</v>
      </c>
      <c r="AO41" s="255">
        <f t="shared" si="27"/>
        <v>92.27689377737329</v>
      </c>
      <c r="AP41" s="255">
        <f t="shared" si="27"/>
        <v>102.64393908118744</v>
      </c>
      <c r="AQ41" s="255">
        <f t="shared" si="27"/>
        <v>113.36319261174252</v>
      </c>
      <c r="AR41" s="255">
        <f t="shared" si="27"/>
        <v>119.38121389688041</v>
      </c>
      <c r="AS41" s="255">
        <f t="shared" si="27"/>
        <v>126.1403894245661</v>
      </c>
      <c r="AT41" s="255">
        <f t="shared" si="27"/>
        <v>133.61052078962996</v>
      </c>
      <c r="AU41" s="255">
        <f t="shared" si="27"/>
        <v>141.86213717491103</v>
      </c>
      <c r="AV41" s="255">
        <f t="shared" si="27"/>
        <v>154.15319896520919</v>
      </c>
      <c r="AW41" s="187"/>
    </row>
    <row r="42" spans="1:49" ht="13.5" thickTop="1">
      <c r="A42" s="238"/>
      <c r="B42" s="369">
        <v>0.005</v>
      </c>
      <c r="C42" s="246"/>
      <c r="D42" s="247"/>
      <c r="E42" s="248"/>
      <c r="F42" s="248"/>
      <c r="G42" s="248"/>
      <c r="H42" s="238"/>
      <c r="I42" s="238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368"/>
      <c r="AI42" s="238"/>
      <c r="AJ42" s="238"/>
      <c r="AK42" s="238"/>
      <c r="AL42" s="238"/>
      <c r="AM42" s="238"/>
      <c r="AN42" s="357"/>
      <c r="AO42" s="357"/>
      <c r="AP42" s="357"/>
      <c r="AQ42" s="357"/>
      <c r="AR42" s="357"/>
      <c r="AS42" s="357"/>
      <c r="AT42" s="357"/>
      <c r="AU42" s="357"/>
      <c r="AV42" s="357"/>
      <c r="AW42" s="187"/>
    </row>
    <row r="43" spans="1:49" ht="12.75">
      <c r="A43" s="238"/>
      <c r="B43" s="369">
        <v>0.0025</v>
      </c>
      <c r="C43" s="246"/>
      <c r="D43" s="250" t="s">
        <v>459</v>
      </c>
      <c r="E43" s="248"/>
      <c r="F43" s="248"/>
      <c r="G43" s="248"/>
      <c r="H43" s="238"/>
      <c r="I43" s="238"/>
      <c r="J43" s="242" t="s">
        <v>457</v>
      </c>
      <c r="K43" s="242" t="s">
        <v>460</v>
      </c>
      <c r="L43" s="365">
        <f aca="true" t="shared" si="28" ref="L43:T43">L39-L41</f>
        <v>7.886441804943701</v>
      </c>
      <c r="M43" s="365">
        <f t="shared" si="28"/>
        <v>9.853055629568754</v>
      </c>
      <c r="N43" s="365">
        <f t="shared" si="28"/>
        <v>11.97284072457471</v>
      </c>
      <c r="O43" s="365">
        <f t="shared" si="28"/>
        <v>13.073101155129898</v>
      </c>
      <c r="P43" s="365">
        <f t="shared" si="28"/>
        <v>14.198184529342996</v>
      </c>
      <c r="Q43" s="365">
        <f t="shared" si="28"/>
        <v>15.349108742279844</v>
      </c>
      <c r="R43" s="365">
        <f t="shared" si="28"/>
        <v>16.526864320245167</v>
      </c>
      <c r="S43" s="365">
        <f t="shared" si="28"/>
        <v>17.620470707397892</v>
      </c>
      <c r="T43" s="365">
        <f t="shared" si="28"/>
        <v>2.7453623912147354</v>
      </c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357" t="e">
        <f aca="true" t="shared" si="29" ref="AN43:AV43">+AN22-AN41</f>
        <v>#REF!</v>
      </c>
      <c r="AO43" s="357">
        <f t="shared" si="29"/>
        <v>-21.35369266804861</v>
      </c>
      <c r="AP43" s="357">
        <f t="shared" si="29"/>
        <v>-22.62892125111385</v>
      </c>
      <c r="AQ43" s="357">
        <f t="shared" si="29"/>
        <v>-22.790583178636112</v>
      </c>
      <c r="AR43" s="357">
        <f t="shared" si="29"/>
        <v>-12.951478344708846</v>
      </c>
      <c r="AS43" s="357">
        <f t="shared" si="29"/>
        <v>-13.111591414103017</v>
      </c>
      <c r="AT43" s="357">
        <f t="shared" si="29"/>
        <v>-23.07090674488508</v>
      </c>
      <c r="AU43" s="357">
        <f t="shared" si="29"/>
        <v>-23.029408382282767</v>
      </c>
      <c r="AV43" s="357">
        <f t="shared" si="29"/>
        <v>-27.987080052428425</v>
      </c>
      <c r="AW43" s="187"/>
    </row>
    <row r="44" spans="1:49" ht="13.5" thickBot="1">
      <c r="A44" s="238"/>
      <c r="B44" s="238"/>
      <c r="C44" s="243"/>
      <c r="D44" s="370" t="s">
        <v>462</v>
      </c>
      <c r="E44" s="371">
        <f>+E19+E25+E32+E41</f>
        <v>120.97835007755626</v>
      </c>
      <c r="F44" s="371">
        <f>+F19+F25+F32+F41</f>
        <v>139.66618047755625</v>
      </c>
      <c r="G44" s="371">
        <f>+G19+G25+G32+G41</f>
        <v>158.29087263594403</v>
      </c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187"/>
    </row>
    <row r="45" spans="1:49" ht="13.5" thickTop="1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357"/>
      <c r="M45" s="357"/>
      <c r="N45" s="357"/>
      <c r="O45" s="357"/>
      <c r="P45" s="357"/>
      <c r="Q45" s="357"/>
      <c r="R45" s="357"/>
      <c r="S45" s="357"/>
      <c r="T45" s="357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361"/>
      <c r="AI45" s="238"/>
      <c r="AJ45" s="238"/>
      <c r="AK45" s="238"/>
      <c r="AL45" s="238"/>
      <c r="AM45" s="238"/>
      <c r="AN45" s="357"/>
      <c r="AO45" s="357"/>
      <c r="AP45" s="357"/>
      <c r="AQ45" s="357"/>
      <c r="AR45" s="357"/>
      <c r="AS45" s="357"/>
      <c r="AT45" s="357"/>
      <c r="AU45" s="357"/>
      <c r="AV45" s="357"/>
      <c r="AW45" s="187"/>
    </row>
    <row r="46" spans="1:49" ht="12.75">
      <c r="A46" s="238"/>
      <c r="B46" s="238"/>
      <c r="C46" s="238"/>
      <c r="D46" s="238"/>
      <c r="E46" s="238">
        <f>+F44/E44</f>
        <v>1.154472518330922</v>
      </c>
      <c r="F46" s="238">
        <f>+G44/F44</f>
        <v>1.1333514820460109</v>
      </c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369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187"/>
    </row>
    <row r="47" spans="1:49" ht="12.75">
      <c r="A47" s="238"/>
      <c r="B47" s="238"/>
      <c r="C47" s="238"/>
      <c r="D47" s="238"/>
      <c r="E47" s="238"/>
      <c r="F47" s="238"/>
      <c r="G47" s="238"/>
      <c r="H47" s="238"/>
      <c r="I47" s="238"/>
      <c r="J47" s="372" t="s">
        <v>469</v>
      </c>
      <c r="K47" s="373"/>
      <c r="L47" s="374"/>
      <c r="M47" s="374"/>
      <c r="N47" s="374"/>
      <c r="O47" s="374"/>
      <c r="P47" s="375"/>
      <c r="Q47" s="375"/>
      <c r="R47" s="375"/>
      <c r="S47" s="375"/>
      <c r="T47" s="375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361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187"/>
    </row>
    <row r="48" spans="1:49" ht="12.75">
      <c r="A48" s="238"/>
      <c r="B48" s="238"/>
      <c r="C48" s="238"/>
      <c r="D48" s="238"/>
      <c r="E48" s="238"/>
      <c r="F48" s="238"/>
      <c r="G48" s="238"/>
      <c r="H48" s="238"/>
      <c r="I48" s="238"/>
      <c r="J48" s="375"/>
      <c r="K48" s="244"/>
      <c r="L48" s="376" t="s">
        <v>435</v>
      </c>
      <c r="M48" s="376" t="s">
        <v>412</v>
      </c>
      <c r="N48" s="376" t="s">
        <v>412</v>
      </c>
      <c r="O48" s="376" t="s">
        <v>367</v>
      </c>
      <c r="P48" s="375"/>
      <c r="Q48" s="375"/>
      <c r="R48" s="375"/>
      <c r="S48" s="375"/>
      <c r="T48" s="375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361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187"/>
    </row>
    <row r="49" spans="1:49" ht="12.75">
      <c r="A49" s="238"/>
      <c r="B49" s="238"/>
      <c r="C49" s="238"/>
      <c r="D49" s="238"/>
      <c r="E49" s="357"/>
      <c r="F49" s="357"/>
      <c r="G49" s="357"/>
      <c r="H49" s="238"/>
      <c r="I49" s="238"/>
      <c r="J49" s="375"/>
      <c r="K49" s="244" t="s">
        <v>472</v>
      </c>
      <c r="L49" s="376" t="s">
        <v>473</v>
      </c>
      <c r="M49" s="376" t="s">
        <v>474</v>
      </c>
      <c r="N49" s="376" t="s">
        <v>475</v>
      </c>
      <c r="O49" s="376"/>
      <c r="P49" s="375"/>
      <c r="Q49" s="375"/>
      <c r="R49" s="375"/>
      <c r="S49" s="375"/>
      <c r="T49" s="375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187"/>
    </row>
    <row r="50" spans="1:49" ht="12.75">
      <c r="A50" s="238"/>
      <c r="B50" s="238"/>
      <c r="C50" s="238"/>
      <c r="D50" s="238"/>
      <c r="E50" s="238"/>
      <c r="F50" s="238"/>
      <c r="G50" s="238"/>
      <c r="H50" s="238"/>
      <c r="I50" s="238"/>
      <c r="J50" s="375"/>
      <c r="K50" s="247" t="s">
        <v>477</v>
      </c>
      <c r="L50" s="377">
        <f>+X30</f>
        <v>0</v>
      </c>
      <c r="M50" s="377">
        <v>0</v>
      </c>
      <c r="N50" s="377">
        <v>0</v>
      </c>
      <c r="O50" s="378"/>
      <c r="P50" s="375"/>
      <c r="Q50" s="375"/>
      <c r="R50" s="375"/>
      <c r="S50" s="375"/>
      <c r="T50" s="375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187"/>
    </row>
    <row r="51" spans="1:49" ht="12.75">
      <c r="A51" s="238"/>
      <c r="B51" s="238"/>
      <c r="C51" s="238"/>
      <c r="D51" s="238"/>
      <c r="E51" s="238"/>
      <c r="F51" s="238"/>
      <c r="G51" s="238"/>
      <c r="H51" s="238"/>
      <c r="I51" s="238"/>
      <c r="J51" s="375"/>
      <c r="K51" s="247"/>
      <c r="L51" s="368"/>
      <c r="M51" s="368"/>
      <c r="N51" s="368"/>
      <c r="O51" s="368"/>
      <c r="P51" s="375"/>
      <c r="Q51" s="375"/>
      <c r="R51" s="375"/>
      <c r="S51" s="375"/>
      <c r="T51" s="375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187"/>
    </row>
    <row r="52" spans="1:49" ht="12.75">
      <c r="A52" s="238"/>
      <c r="B52" s="238"/>
      <c r="C52" s="238"/>
      <c r="D52" s="238"/>
      <c r="E52" s="238"/>
      <c r="F52" s="238"/>
      <c r="G52" s="238"/>
      <c r="H52" s="238"/>
      <c r="I52" s="238"/>
      <c r="J52" s="375"/>
      <c r="K52" s="247" t="s">
        <v>480</v>
      </c>
      <c r="L52" s="368">
        <v>1.66</v>
      </c>
      <c r="M52" s="379">
        <v>0.5023</v>
      </c>
      <c r="N52" s="379">
        <v>0.2424</v>
      </c>
      <c r="O52" s="379"/>
      <c r="P52" s="375"/>
      <c r="Q52" s="375"/>
      <c r="R52" s="375"/>
      <c r="S52" s="375"/>
      <c r="T52" s="375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187"/>
    </row>
    <row r="53" spans="1:49" ht="12.75">
      <c r="A53" s="238"/>
      <c r="B53" s="238"/>
      <c r="C53" s="238"/>
      <c r="D53" s="238"/>
      <c r="E53" s="238"/>
      <c r="F53" s="238"/>
      <c r="G53" s="238"/>
      <c r="H53" s="238"/>
      <c r="I53" s="238"/>
      <c r="J53" s="375"/>
      <c r="K53" s="247"/>
      <c r="L53" s="368"/>
      <c r="M53" s="379"/>
      <c r="N53" s="379"/>
      <c r="O53" s="379"/>
      <c r="P53" s="375"/>
      <c r="Q53" s="375"/>
      <c r="R53" s="375"/>
      <c r="S53" s="375"/>
      <c r="T53" s="375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187"/>
    </row>
    <row r="54" spans="1:49" ht="12.75">
      <c r="A54" s="238"/>
      <c r="B54" s="380"/>
      <c r="C54" s="238"/>
      <c r="D54" s="238"/>
      <c r="E54" s="238"/>
      <c r="F54" s="238"/>
      <c r="G54" s="238"/>
      <c r="H54" s="238"/>
      <c r="I54" s="238"/>
      <c r="J54" s="375"/>
      <c r="K54" s="247" t="s">
        <v>484</v>
      </c>
      <c r="L54" s="368">
        <v>1.74</v>
      </c>
      <c r="M54" s="379">
        <v>0.5348</v>
      </c>
      <c r="N54" s="379">
        <v>0.2581</v>
      </c>
      <c r="O54" s="379"/>
      <c r="P54" s="375"/>
      <c r="Q54" s="375"/>
      <c r="R54" s="375"/>
      <c r="S54" s="375"/>
      <c r="T54" s="375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187"/>
    </row>
    <row r="55" spans="1:49" ht="12.75">
      <c r="A55" s="238"/>
      <c r="B55" s="238"/>
      <c r="C55" s="238"/>
      <c r="D55" s="238"/>
      <c r="E55" s="238"/>
      <c r="F55" s="238"/>
      <c r="G55" s="238"/>
      <c r="H55" s="238"/>
      <c r="I55" s="238"/>
      <c r="J55" s="375"/>
      <c r="K55" s="247"/>
      <c r="L55" s="368"/>
      <c r="M55" s="379"/>
      <c r="N55" s="379"/>
      <c r="O55" s="379"/>
      <c r="P55" s="375"/>
      <c r="Q55" s="375"/>
      <c r="R55" s="375"/>
      <c r="S55" s="375"/>
      <c r="T55" s="375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187"/>
    </row>
    <row r="56" spans="1:49" ht="12.75">
      <c r="A56" s="187"/>
      <c r="B56" s="187"/>
      <c r="C56" s="187"/>
      <c r="D56" s="187"/>
      <c r="E56" s="187"/>
      <c r="F56" s="187"/>
      <c r="G56" s="187"/>
      <c r="H56" s="187"/>
      <c r="I56" s="187"/>
      <c r="J56" s="196"/>
      <c r="K56" s="193" t="s">
        <v>495</v>
      </c>
      <c r="L56" s="195">
        <v>1.99</v>
      </c>
      <c r="M56" s="197">
        <v>0.469</v>
      </c>
      <c r="N56" s="197">
        <v>0.2263</v>
      </c>
      <c r="O56" s="197"/>
      <c r="P56" s="196"/>
      <c r="Q56" s="196"/>
      <c r="R56" s="196"/>
      <c r="S56" s="196"/>
      <c r="T56" s="196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</row>
    <row r="57" spans="1:49" ht="12.75">
      <c r="A57" s="187"/>
      <c r="B57" s="187"/>
      <c r="C57" s="187"/>
      <c r="D57" s="187"/>
      <c r="E57" s="187"/>
      <c r="F57" s="187"/>
      <c r="G57" s="187"/>
      <c r="H57" s="187"/>
      <c r="I57" s="187"/>
      <c r="J57" s="196"/>
      <c r="K57" s="193"/>
      <c r="L57" s="195"/>
      <c r="M57" s="197"/>
      <c r="N57" s="197"/>
      <c r="O57" s="197"/>
      <c r="P57" s="196"/>
      <c r="Q57" s="196"/>
      <c r="R57" s="196"/>
      <c r="S57" s="196"/>
      <c r="T57" s="196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</row>
    <row r="58" spans="1:49" ht="12.75">
      <c r="A58" s="187"/>
      <c r="B58" s="187"/>
      <c r="C58" s="187"/>
      <c r="D58" s="187"/>
      <c r="E58" s="187"/>
      <c r="F58" s="187"/>
      <c r="G58" s="187"/>
      <c r="H58" s="187"/>
      <c r="I58" s="187"/>
      <c r="J58" s="196"/>
      <c r="K58" s="193" t="s">
        <v>499</v>
      </c>
      <c r="L58" s="195">
        <v>1.62</v>
      </c>
      <c r="M58" s="197">
        <v>0.6807</v>
      </c>
      <c r="N58" s="197">
        <v>0.3285</v>
      </c>
      <c r="O58" s="197"/>
      <c r="P58" s="196"/>
      <c r="Q58" s="196"/>
      <c r="R58" s="196"/>
      <c r="S58" s="196"/>
      <c r="T58" s="196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</row>
    <row r="59" spans="1:49" ht="12.75">
      <c r="A59" s="187"/>
      <c r="B59" s="187"/>
      <c r="C59" s="187"/>
      <c r="D59" s="187"/>
      <c r="E59" s="187"/>
      <c r="F59" s="187"/>
      <c r="G59" s="187"/>
      <c r="H59" s="187"/>
      <c r="I59" s="187"/>
      <c r="J59" s="196"/>
      <c r="K59" s="194"/>
      <c r="L59" s="198"/>
      <c r="M59" s="198"/>
      <c r="N59" s="198"/>
      <c r="O59" s="198"/>
      <c r="P59" s="196"/>
      <c r="Q59" s="196"/>
      <c r="R59" s="196"/>
      <c r="S59" s="196"/>
      <c r="T59" s="196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</row>
    <row r="60" spans="1:49" ht="12.7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</row>
    <row r="61" spans="1:49" ht="12.7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</row>
    <row r="62" spans="1:49" ht="12.7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</row>
    <row r="63" spans="1:49" ht="12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</row>
    <row r="64" spans="1:49" ht="12.7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</row>
    <row r="65" spans="1:49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</row>
    <row r="66" spans="1:49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</row>
    <row r="67" spans="1:49" ht="12.7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</row>
    <row r="68" spans="1:49" ht="12.75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</row>
    <row r="69" spans="1:49" ht="12.7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</row>
    <row r="70" spans="1:49" ht="12.75">
      <c r="A70" s="187"/>
      <c r="B70" s="187"/>
      <c r="C70" s="187"/>
      <c r="D70" s="187"/>
      <c r="E70" s="187"/>
      <c r="F70" s="187"/>
      <c r="G70" s="187"/>
      <c r="H70" s="187"/>
      <c r="I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</row>
  </sheetData>
  <sheetProtection/>
  <mergeCells count="6">
    <mergeCell ref="J3:T3"/>
    <mergeCell ref="AL3:AV3"/>
    <mergeCell ref="AL2:AR2"/>
    <mergeCell ref="C3:G3"/>
    <mergeCell ref="C2:G2"/>
    <mergeCell ref="J2:P2"/>
  </mergeCells>
  <printOptions/>
  <pageMargins left="0.21" right="0.16" top="0.59" bottom="0.33" header="0.3" footer="0.3"/>
  <pageSetup horizontalDpi="1200" verticalDpi="1200" orientation="landscape" r:id="rId1"/>
  <headerFooter scaleWithDoc="0" alignWithMargins="0">
    <oddHeader>&amp;LUnify Texturisers Pvt. Ltd&amp;C.
&amp;RConsolidated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68"/>
  <sheetViews>
    <sheetView showGridLines="0" zoomScalePageLayoutView="0" workbookViewId="0" topLeftCell="A3">
      <selection activeCell="E12" sqref="E12"/>
    </sheetView>
  </sheetViews>
  <sheetFormatPr defaultColWidth="9.140625" defaultRowHeight="12.75"/>
  <cols>
    <col min="1" max="2" width="9.140625" style="147" customWidth="1"/>
    <col min="3" max="3" width="4.8515625" style="147" customWidth="1"/>
    <col min="4" max="4" width="30.7109375" style="147" customWidth="1"/>
    <col min="5" max="7" width="12.7109375" style="147" customWidth="1"/>
    <col min="8" max="8" width="12.00390625" style="147" bestFit="1" customWidth="1"/>
    <col min="9" max="9" width="9.140625" style="147" customWidth="1"/>
    <col min="10" max="10" width="4.57421875" style="147" customWidth="1"/>
    <col min="11" max="11" width="35.7109375" style="147" customWidth="1"/>
    <col min="12" max="20" width="10.7109375" style="147" customWidth="1"/>
    <col min="21" max="21" width="10.8515625" style="147" customWidth="1"/>
    <col min="22" max="22" width="9.140625" style="147" customWidth="1"/>
    <col min="23" max="23" width="4.7109375" style="147" customWidth="1"/>
    <col min="24" max="24" width="27.140625" style="147" customWidth="1"/>
    <col min="25" max="28" width="9.140625" style="147" customWidth="1"/>
    <col min="29" max="34" width="9.8515625" style="147" customWidth="1"/>
    <col min="35" max="35" width="9.140625" style="147" customWidth="1"/>
    <col min="36" max="36" width="5.57421875" style="147" customWidth="1"/>
    <col min="37" max="37" width="34.00390625" style="147" customWidth="1"/>
    <col min="38" max="38" width="8.7109375" style="147" customWidth="1"/>
    <col min="39" max="40" width="11.57421875" style="147" customWidth="1"/>
    <col min="41" max="41" width="9.57421875" style="147" customWidth="1"/>
    <col min="42" max="42" width="9.140625" style="147" customWidth="1"/>
    <col min="43" max="43" width="4.8515625" style="147" hidden="1" customWidth="1"/>
    <col min="44" max="44" width="4.28125" style="147" hidden="1" customWidth="1"/>
    <col min="45" max="45" width="19.7109375" style="147" hidden="1" customWidth="1"/>
    <col min="46" max="48" width="12.7109375" style="147" hidden="1" customWidth="1"/>
    <col min="49" max="50" width="9.140625" style="147" customWidth="1"/>
    <col min="51" max="51" width="5.421875" style="147" customWidth="1"/>
    <col min="52" max="52" width="24.140625" style="147" customWidth="1"/>
    <col min="53" max="61" width="10.7109375" style="147" customWidth="1"/>
    <col min="62" max="16384" width="9.140625" style="147" customWidth="1"/>
  </cols>
  <sheetData>
    <row r="1" spans="1:101" ht="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</row>
    <row r="2" spans="1:101" ht="15">
      <c r="A2" s="146"/>
      <c r="B2" s="146"/>
      <c r="C2" s="522"/>
      <c r="D2" s="522"/>
      <c r="E2" s="522"/>
      <c r="F2" s="522"/>
      <c r="G2" s="522"/>
      <c r="H2" s="146"/>
      <c r="I2" s="146"/>
      <c r="J2" s="522"/>
      <c r="K2" s="522"/>
      <c r="L2" s="522"/>
      <c r="M2" s="522"/>
      <c r="N2" s="522"/>
      <c r="O2" s="522"/>
      <c r="P2" s="522"/>
      <c r="Q2" s="522"/>
      <c r="R2" s="148"/>
      <c r="S2" s="148"/>
      <c r="T2" s="148"/>
      <c r="U2" s="148"/>
      <c r="V2" s="146"/>
      <c r="W2" s="221"/>
      <c r="X2" s="221"/>
      <c r="Y2" s="221" t="str">
        <f aca="true" t="shared" si="0" ref="Y2:AG2">L7</f>
        <v>2010-11</v>
      </c>
      <c r="Z2" s="221" t="str">
        <f t="shared" si="0"/>
        <v>2011-12</v>
      </c>
      <c r="AA2" s="221" t="str">
        <f t="shared" si="0"/>
        <v>2012-13</v>
      </c>
      <c r="AB2" s="221" t="str">
        <f t="shared" si="0"/>
        <v>2013-14</v>
      </c>
      <c r="AC2" s="221" t="str">
        <f t="shared" si="0"/>
        <v>2014-15</v>
      </c>
      <c r="AD2" s="221" t="str">
        <f t="shared" si="0"/>
        <v>2015-16</v>
      </c>
      <c r="AE2" s="221" t="str">
        <f t="shared" si="0"/>
        <v>2016-17</v>
      </c>
      <c r="AF2" s="221" t="str">
        <f t="shared" si="0"/>
        <v>2017-18</v>
      </c>
      <c r="AG2" s="221" t="str">
        <f t="shared" si="0"/>
        <v>2018-19</v>
      </c>
      <c r="AH2" s="146"/>
      <c r="AI2" s="146"/>
      <c r="AJ2" s="523"/>
      <c r="AK2" s="523"/>
      <c r="AL2" s="523"/>
      <c r="AM2" s="523"/>
      <c r="AN2" s="523"/>
      <c r="AO2" s="523"/>
      <c r="AP2" s="146"/>
      <c r="AQ2" s="524"/>
      <c r="AR2" s="524"/>
      <c r="AS2" s="524"/>
      <c r="AT2" s="524"/>
      <c r="AU2" s="524"/>
      <c r="AV2" s="524"/>
      <c r="AW2" s="146"/>
      <c r="AX2" s="146"/>
      <c r="AY2" s="522"/>
      <c r="AZ2" s="522"/>
      <c r="BA2" s="522"/>
      <c r="BB2" s="522"/>
      <c r="BC2" s="522"/>
      <c r="BD2" s="522"/>
      <c r="BE2" s="522"/>
      <c r="BF2" s="522"/>
      <c r="BG2" s="148"/>
      <c r="BH2" s="148"/>
      <c r="BI2" s="148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</row>
    <row r="3" spans="1:101" ht="15">
      <c r="A3" s="146"/>
      <c r="B3" s="146"/>
      <c r="C3" s="523" t="s">
        <v>75</v>
      </c>
      <c r="D3" s="523"/>
      <c r="E3" s="523"/>
      <c r="F3" s="523"/>
      <c r="G3" s="523"/>
      <c r="H3" s="146"/>
      <c r="I3" s="146"/>
      <c r="J3" s="523" t="s">
        <v>10</v>
      </c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148"/>
      <c r="V3" s="146"/>
      <c r="W3" s="202" t="s">
        <v>11</v>
      </c>
      <c r="X3" s="202" t="s">
        <v>12</v>
      </c>
      <c r="Y3" s="228">
        <f aca="true" t="shared" si="1" ref="Y3:AD3">L44</f>
        <v>2.310255429943746</v>
      </c>
      <c r="Z3" s="228">
        <f t="shared" si="1"/>
        <v>2.365838754568749</v>
      </c>
      <c r="AA3" s="228">
        <f t="shared" si="1"/>
        <v>2.4214226745747163</v>
      </c>
      <c r="AB3" s="228">
        <f t="shared" si="1"/>
        <v>2.474636855129899</v>
      </c>
      <c r="AC3" s="228">
        <f t="shared" si="1"/>
        <v>2.5281392918429977</v>
      </c>
      <c r="AD3" s="228">
        <f t="shared" si="1"/>
        <v>2.5819477141548353</v>
      </c>
      <c r="AE3" s="228">
        <f>R44</f>
        <v>2.6360782660264124</v>
      </c>
      <c r="AF3" s="228">
        <f>S44</f>
        <v>2.690545504140108</v>
      </c>
      <c r="AG3" s="228">
        <f>T44</f>
        <v>2.7453623912147354</v>
      </c>
      <c r="AH3" s="151"/>
      <c r="AI3" s="146"/>
      <c r="AJ3" s="523" t="s">
        <v>13</v>
      </c>
      <c r="AK3" s="523"/>
      <c r="AL3" s="523"/>
      <c r="AM3" s="523"/>
      <c r="AN3" s="523"/>
      <c r="AO3" s="523"/>
      <c r="AP3" s="146">
        <f>1200000/1000</f>
        <v>1200</v>
      </c>
      <c r="AQ3" s="522" t="s">
        <v>14</v>
      </c>
      <c r="AR3" s="522"/>
      <c r="AS3" s="522"/>
      <c r="AT3" s="522"/>
      <c r="AU3" s="522"/>
      <c r="AV3" s="522"/>
      <c r="AW3" s="146"/>
      <c r="AX3" s="146"/>
      <c r="AY3" s="523" t="s">
        <v>15</v>
      </c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</row>
    <row r="4" spans="1:101" ht="15">
      <c r="A4" s="146"/>
      <c r="B4" s="146"/>
      <c r="C4" s="1"/>
      <c r="D4" s="1"/>
      <c r="E4" s="1"/>
      <c r="F4" s="1"/>
      <c r="G4" s="1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3"/>
      <c r="X4" s="3"/>
      <c r="Y4" s="208"/>
      <c r="Z4" s="208"/>
      <c r="AA4" s="208"/>
      <c r="AB4" s="208"/>
      <c r="AC4" s="208"/>
      <c r="AD4" s="208"/>
      <c r="AE4" s="208"/>
      <c r="AF4" s="208"/>
      <c r="AG4" s="208"/>
      <c r="AH4" s="151"/>
      <c r="AI4" s="146"/>
      <c r="AJ4" s="1"/>
      <c r="AK4" s="1"/>
      <c r="AL4" s="1"/>
      <c r="AM4" s="1"/>
      <c r="AN4" s="1"/>
      <c r="AO4" s="1"/>
      <c r="AP4" s="146"/>
      <c r="AQ4" s="154" t="s">
        <v>18</v>
      </c>
      <c r="AR4" s="154"/>
      <c r="AS4" s="155"/>
      <c r="AT4" s="155"/>
      <c r="AU4" s="155"/>
      <c r="AV4" s="155"/>
      <c r="AW4" s="146"/>
      <c r="AX4" s="146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</row>
    <row r="5" spans="1:101" ht="15">
      <c r="A5" s="146"/>
      <c r="B5" s="146"/>
      <c r="C5" s="1"/>
      <c r="D5" s="1"/>
      <c r="E5" s="1"/>
      <c r="F5" s="1"/>
      <c r="G5" s="219" t="s">
        <v>563</v>
      </c>
      <c r="H5" s="146"/>
      <c r="I5" s="146"/>
      <c r="J5" s="146"/>
      <c r="K5" s="146"/>
      <c r="L5" s="156"/>
      <c r="M5" s="156"/>
      <c r="N5" s="156"/>
      <c r="O5" s="156"/>
      <c r="P5" s="156"/>
      <c r="S5" s="157"/>
      <c r="T5" s="157" t="str">
        <f>+G5</f>
        <v>(Rs. in Crores)</v>
      </c>
      <c r="U5" s="157"/>
      <c r="V5" s="146"/>
      <c r="W5" s="3" t="s">
        <v>25</v>
      </c>
      <c r="X5" s="3" t="s">
        <v>26</v>
      </c>
      <c r="Y5" s="208">
        <f aca="true" t="shared" si="2" ref="Y5:AG5">+Y3*30.9%</f>
        <v>0.7138689278526176</v>
      </c>
      <c r="Z5" s="208">
        <f t="shared" si="2"/>
        <v>0.7310441751617434</v>
      </c>
      <c r="AA5" s="208">
        <f t="shared" si="2"/>
        <v>0.7482196064435873</v>
      </c>
      <c r="AB5" s="208">
        <f t="shared" si="2"/>
        <v>0.7646627882351389</v>
      </c>
      <c r="AC5" s="208">
        <f t="shared" si="2"/>
        <v>0.7811950411794862</v>
      </c>
      <c r="AD5" s="208">
        <f t="shared" si="2"/>
        <v>0.7978218436738441</v>
      </c>
      <c r="AE5" s="208">
        <f t="shared" si="2"/>
        <v>0.8145481842021615</v>
      </c>
      <c r="AF5" s="208">
        <f t="shared" si="2"/>
        <v>0.8313785607792934</v>
      </c>
      <c r="AG5" s="208">
        <f t="shared" si="2"/>
        <v>0.8483169788853532</v>
      </c>
      <c r="AH5" s="151"/>
      <c r="AI5" s="146"/>
      <c r="AJ5" s="201" t="s">
        <v>31</v>
      </c>
      <c r="AK5" s="202"/>
      <c r="AL5" s="202"/>
      <c r="AM5" s="203"/>
      <c r="AN5" s="202"/>
      <c r="AO5" s="202"/>
      <c r="AP5" s="146"/>
      <c r="AQ5" s="146"/>
      <c r="AR5" s="146"/>
      <c r="AS5" s="146"/>
      <c r="AT5" s="146"/>
      <c r="AU5" s="146"/>
      <c r="AV5" s="146"/>
      <c r="AW5" s="146"/>
      <c r="AX5" s="146"/>
      <c r="AY5" s="1"/>
      <c r="AZ5" s="1"/>
      <c r="BA5" s="1"/>
      <c r="BB5" s="1"/>
      <c r="BC5" s="1"/>
      <c r="BD5" s="1"/>
      <c r="BE5" s="1"/>
      <c r="BF5" s="349"/>
      <c r="BG5" s="219"/>
      <c r="BH5" s="219"/>
      <c r="BI5" s="219" t="str">
        <f>+G5</f>
        <v>(Rs. in Crores)</v>
      </c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</row>
    <row r="6" spans="1:101" ht="15">
      <c r="A6" s="146"/>
      <c r="B6" s="146"/>
      <c r="C6" s="202" t="s">
        <v>31</v>
      </c>
      <c r="D6" s="202"/>
      <c r="E6" s="220"/>
      <c r="F6" s="202"/>
      <c r="G6" s="202"/>
      <c r="H6" s="146"/>
      <c r="I6" s="146"/>
      <c r="J6" s="202" t="s">
        <v>31</v>
      </c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159"/>
      <c r="V6" s="146"/>
      <c r="W6" s="152"/>
      <c r="X6" s="152"/>
      <c r="Y6" s="153"/>
      <c r="Z6" s="153"/>
      <c r="AA6" s="153"/>
      <c r="AB6" s="153"/>
      <c r="AC6" s="153"/>
      <c r="AD6" s="153"/>
      <c r="AE6" s="153"/>
      <c r="AF6" s="153"/>
      <c r="AG6" s="153"/>
      <c r="AH6" s="151"/>
      <c r="AI6" s="146"/>
      <c r="AJ6" s="200" t="s">
        <v>46</v>
      </c>
      <c r="AK6" s="200" t="s">
        <v>29</v>
      </c>
      <c r="AL6" s="200" t="s">
        <v>509</v>
      </c>
      <c r="AM6" s="200" t="s">
        <v>570</v>
      </c>
      <c r="AN6" s="200" t="str">
        <f>+M7</f>
        <v>2011-12</v>
      </c>
      <c r="AO6" s="200" t="str">
        <f>+N7</f>
        <v>2012-13</v>
      </c>
      <c r="AP6" s="146"/>
      <c r="AQ6" s="146"/>
      <c r="AR6" s="146"/>
      <c r="AS6" s="146"/>
      <c r="AT6" s="146"/>
      <c r="AU6" s="146"/>
      <c r="AV6" s="157" t="str">
        <f>+T5</f>
        <v>(Rs. in Crores)</v>
      </c>
      <c r="AW6" s="146"/>
      <c r="AX6" s="146"/>
      <c r="AY6" s="202" t="s">
        <v>37</v>
      </c>
      <c r="AZ6" s="202"/>
      <c r="BA6" s="350"/>
      <c r="BB6" s="202"/>
      <c r="BC6" s="202"/>
      <c r="BD6" s="202"/>
      <c r="BE6" s="202"/>
      <c r="BF6" s="202"/>
      <c r="BG6" s="202"/>
      <c r="BH6" s="202"/>
      <c r="BI6" s="202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</row>
    <row r="7" spans="1:101" ht="15">
      <c r="A7" s="146"/>
      <c r="B7" s="146"/>
      <c r="C7" s="212" t="s">
        <v>46</v>
      </c>
      <c r="D7" s="212" t="s">
        <v>29</v>
      </c>
      <c r="E7" s="200" t="s">
        <v>570</v>
      </c>
      <c r="F7" s="200" t="s">
        <v>557</v>
      </c>
      <c r="G7" s="200" t="s">
        <v>558</v>
      </c>
      <c r="H7" s="146"/>
      <c r="I7" s="146"/>
      <c r="J7" s="212" t="s">
        <v>46</v>
      </c>
      <c r="K7" s="225" t="s">
        <v>29</v>
      </c>
      <c r="L7" s="200" t="str">
        <f>E7</f>
        <v>2010-11</v>
      </c>
      <c r="M7" s="200" t="str">
        <f>F7</f>
        <v>2011-12</v>
      </c>
      <c r="N7" s="200" t="str">
        <f>G7</f>
        <v>2012-13</v>
      </c>
      <c r="O7" s="200" t="s">
        <v>559</v>
      </c>
      <c r="P7" s="200" t="s">
        <v>560</v>
      </c>
      <c r="Q7" s="200" t="s">
        <v>561</v>
      </c>
      <c r="R7" s="200" t="s">
        <v>562</v>
      </c>
      <c r="S7" s="200" t="s">
        <v>564</v>
      </c>
      <c r="T7" s="200" t="s">
        <v>565</v>
      </c>
      <c r="U7" s="162"/>
      <c r="V7" s="146"/>
      <c r="W7" s="3" t="s">
        <v>52</v>
      </c>
      <c r="X7" s="3" t="s">
        <v>53</v>
      </c>
      <c r="Y7" s="208">
        <f aca="true" t="shared" si="3" ref="Y7:AD7">+Y3-Y5</f>
        <v>1.5963865020911285</v>
      </c>
      <c r="Z7" s="208">
        <f t="shared" si="3"/>
        <v>1.6347945794070056</v>
      </c>
      <c r="AA7" s="208">
        <f t="shared" si="3"/>
        <v>1.673203068131129</v>
      </c>
      <c r="AB7" s="208">
        <f t="shared" si="3"/>
        <v>1.7099740668947603</v>
      </c>
      <c r="AC7" s="208">
        <f t="shared" si="3"/>
        <v>1.7469442506635113</v>
      </c>
      <c r="AD7" s="208">
        <f t="shared" si="3"/>
        <v>1.7841258704809912</v>
      </c>
      <c r="AE7" s="208">
        <f>+AE3-AE5</f>
        <v>1.821530081824251</v>
      </c>
      <c r="AF7" s="208">
        <f>+AF3-AF5</f>
        <v>1.8591669433608147</v>
      </c>
      <c r="AG7" s="208">
        <f>+AG3-AG5</f>
        <v>1.897045412329382</v>
      </c>
      <c r="AH7" s="151"/>
      <c r="AI7" s="146"/>
      <c r="AJ7" s="3"/>
      <c r="AK7" s="3"/>
      <c r="AL7" s="3"/>
      <c r="AM7" s="204"/>
      <c r="AN7" s="204"/>
      <c r="AO7" s="204"/>
      <c r="AP7" s="146"/>
      <c r="AQ7" s="158" t="s">
        <v>31</v>
      </c>
      <c r="AR7" s="163"/>
      <c r="AS7" s="164"/>
      <c r="AT7" s="158"/>
      <c r="AU7" s="158" t="s">
        <v>54</v>
      </c>
      <c r="AV7" s="158" t="s">
        <v>24</v>
      </c>
      <c r="AW7" s="146"/>
      <c r="AX7" s="146"/>
      <c r="AY7" s="212" t="s">
        <v>46</v>
      </c>
      <c r="AZ7" s="212" t="s">
        <v>29</v>
      </c>
      <c r="BA7" s="200" t="str">
        <f aca="true" t="shared" si="4" ref="BA7:BI7">+L7</f>
        <v>2010-11</v>
      </c>
      <c r="BB7" s="200" t="str">
        <f t="shared" si="4"/>
        <v>2011-12</v>
      </c>
      <c r="BC7" s="200" t="str">
        <f t="shared" si="4"/>
        <v>2012-13</v>
      </c>
      <c r="BD7" s="200" t="str">
        <f t="shared" si="4"/>
        <v>2013-14</v>
      </c>
      <c r="BE7" s="200" t="str">
        <f t="shared" si="4"/>
        <v>2014-15</v>
      </c>
      <c r="BF7" s="200" t="str">
        <f t="shared" si="4"/>
        <v>2015-16</v>
      </c>
      <c r="BG7" s="200" t="str">
        <f t="shared" si="4"/>
        <v>2016-17</v>
      </c>
      <c r="BH7" s="200" t="str">
        <f t="shared" si="4"/>
        <v>2017-18</v>
      </c>
      <c r="BI7" s="200" t="str">
        <f t="shared" si="4"/>
        <v>2018-19</v>
      </c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</row>
    <row r="8" spans="1:101" ht="15">
      <c r="A8" s="146"/>
      <c r="B8" s="146"/>
      <c r="C8" s="221"/>
      <c r="D8" s="212" t="s">
        <v>226</v>
      </c>
      <c r="E8" s="222">
        <f>+AM27</f>
        <v>1</v>
      </c>
      <c r="F8" s="222">
        <f>+AN27</f>
        <v>1</v>
      </c>
      <c r="G8" s="222">
        <f>+AO27</f>
        <v>1</v>
      </c>
      <c r="H8" s="146"/>
      <c r="I8" s="146"/>
      <c r="J8" s="152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1"/>
      <c r="V8" s="146"/>
      <c r="W8" s="152"/>
      <c r="X8" s="152"/>
      <c r="Y8" s="153"/>
      <c r="Z8" s="153"/>
      <c r="AA8" s="153"/>
      <c r="AB8" s="153"/>
      <c r="AC8" s="153"/>
      <c r="AD8" s="153"/>
      <c r="AE8" s="153"/>
      <c r="AF8" s="153"/>
      <c r="AG8" s="153"/>
      <c r="AH8" s="151"/>
      <c r="AI8" s="146"/>
      <c r="AJ8" s="3">
        <v>1</v>
      </c>
      <c r="AK8" s="199" t="s">
        <v>508</v>
      </c>
      <c r="AL8" s="199"/>
      <c r="AM8" s="3"/>
      <c r="AN8" s="3"/>
      <c r="AO8" s="3"/>
      <c r="AP8" s="146"/>
      <c r="AQ8" s="160" t="s">
        <v>46</v>
      </c>
      <c r="AR8" s="165" t="s">
        <v>29</v>
      </c>
      <c r="AS8" s="166"/>
      <c r="AT8" s="160" t="s">
        <v>76</v>
      </c>
      <c r="AU8" s="160" t="s">
        <v>77</v>
      </c>
      <c r="AV8" s="160" t="s">
        <v>42</v>
      </c>
      <c r="AW8" s="146"/>
      <c r="AX8" s="146"/>
      <c r="AY8" s="202"/>
      <c r="AZ8" s="202"/>
      <c r="BA8" s="228"/>
      <c r="BB8" s="228"/>
      <c r="BC8" s="228"/>
      <c r="BD8" s="228"/>
      <c r="BE8" s="228"/>
      <c r="BF8" s="228"/>
      <c r="BG8" s="228"/>
      <c r="BH8" s="228"/>
      <c r="BI8" s="228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</row>
    <row r="9" spans="1:101" ht="15">
      <c r="A9" s="146"/>
      <c r="B9" s="146"/>
      <c r="C9" s="3">
        <v>1</v>
      </c>
      <c r="D9" s="3" t="s">
        <v>238</v>
      </c>
      <c r="E9" s="208"/>
      <c r="F9" s="208"/>
      <c r="G9" s="208"/>
      <c r="H9" s="146"/>
      <c r="I9" s="156"/>
      <c r="J9" s="3" t="s">
        <v>113</v>
      </c>
      <c r="K9" s="3" t="s">
        <v>114</v>
      </c>
      <c r="L9" s="208">
        <f>+E43</f>
        <v>9.531350077556253</v>
      </c>
      <c r="M9" s="208">
        <f>+F43</f>
        <v>9.724180477556251</v>
      </c>
      <c r="N9" s="208">
        <f>+G43</f>
        <v>9.921072635944032</v>
      </c>
      <c r="O9" s="208">
        <f aca="true" t="shared" si="5" ref="O9:T9">N9*102%</f>
        <v>10.119494088662913</v>
      </c>
      <c r="P9" s="208">
        <f t="shared" si="5"/>
        <v>10.321883970436172</v>
      </c>
      <c r="Q9" s="208">
        <f t="shared" si="5"/>
        <v>10.528321649844896</v>
      </c>
      <c r="R9" s="208">
        <f t="shared" si="5"/>
        <v>10.738888082841795</v>
      </c>
      <c r="S9" s="208">
        <f t="shared" si="5"/>
        <v>10.953665844498632</v>
      </c>
      <c r="T9" s="208">
        <f t="shared" si="5"/>
        <v>11.172739161388606</v>
      </c>
      <c r="U9" s="151"/>
      <c r="V9" s="146"/>
      <c r="W9" s="3" t="s">
        <v>115</v>
      </c>
      <c r="X9" s="3" t="s">
        <v>116</v>
      </c>
      <c r="Y9" s="208">
        <f aca="true" t="shared" si="6" ref="Y9:AG9">BA11*Y10</f>
        <v>0</v>
      </c>
      <c r="Z9" s="208">
        <f t="shared" si="6"/>
        <v>0</v>
      </c>
      <c r="AA9" s="208">
        <f t="shared" si="6"/>
        <v>0</v>
      </c>
      <c r="AB9" s="208">
        <f t="shared" si="6"/>
        <v>0</v>
      </c>
      <c r="AC9" s="208">
        <f t="shared" si="6"/>
        <v>0</v>
      </c>
      <c r="AD9" s="208">
        <f t="shared" si="6"/>
        <v>0</v>
      </c>
      <c r="AE9" s="208">
        <f t="shared" si="6"/>
        <v>0</v>
      </c>
      <c r="AF9" s="208">
        <f t="shared" si="6"/>
        <v>0</v>
      </c>
      <c r="AG9" s="208">
        <f t="shared" si="6"/>
        <v>0</v>
      </c>
      <c r="AH9" s="151"/>
      <c r="AI9" s="146"/>
      <c r="AJ9" s="3"/>
      <c r="AK9" s="3" t="str">
        <f>Expansion!BJ9</f>
        <v>Product A</v>
      </c>
      <c r="AL9" s="3" t="s">
        <v>528</v>
      </c>
      <c r="AM9" s="205">
        <v>0</v>
      </c>
      <c r="AN9" s="205">
        <f>+AM9</f>
        <v>0</v>
      </c>
      <c r="AO9" s="205">
        <f>+AN9</f>
        <v>0</v>
      </c>
      <c r="AP9" s="146"/>
      <c r="AQ9" s="149"/>
      <c r="AR9" s="167"/>
      <c r="AS9" s="167"/>
      <c r="AT9" s="149"/>
      <c r="AU9" s="149"/>
      <c r="AV9" s="150"/>
      <c r="AW9" s="146"/>
      <c r="AX9" s="146"/>
      <c r="AY9" s="351" t="s">
        <v>81</v>
      </c>
      <c r="AZ9" s="223" t="s">
        <v>117</v>
      </c>
      <c r="BA9" s="208"/>
      <c r="BB9" s="208"/>
      <c r="BC9" s="208"/>
      <c r="BD9" s="208"/>
      <c r="BE9" s="208"/>
      <c r="BF9" s="208"/>
      <c r="BG9" s="208"/>
      <c r="BH9" s="208"/>
      <c r="BI9" s="208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</row>
    <row r="10" spans="1:101" ht="15">
      <c r="A10" s="146"/>
      <c r="B10" s="146"/>
      <c r="C10" s="152"/>
      <c r="D10" s="152"/>
      <c r="E10" s="153"/>
      <c r="F10" s="153"/>
      <c r="G10" s="153"/>
      <c r="H10" s="146"/>
      <c r="I10" s="146"/>
      <c r="J10" s="3"/>
      <c r="K10" s="3" t="s">
        <v>163</v>
      </c>
      <c r="L10" s="208"/>
      <c r="M10" s="208"/>
      <c r="N10" s="208"/>
      <c r="O10" s="208"/>
      <c r="P10" s="208"/>
      <c r="Q10" s="208"/>
      <c r="R10" s="208"/>
      <c r="S10" s="208"/>
      <c r="T10" s="208"/>
      <c r="U10" s="151"/>
      <c r="V10" s="146"/>
      <c r="W10" s="3"/>
      <c r="X10" s="3" t="s">
        <v>164</v>
      </c>
      <c r="Y10" s="229">
        <v>0</v>
      </c>
      <c r="Z10" s="229">
        <f aca="true" t="shared" si="7" ref="Z10:AG10">+Y10</f>
        <v>0</v>
      </c>
      <c r="AA10" s="229">
        <f t="shared" si="7"/>
        <v>0</v>
      </c>
      <c r="AB10" s="229">
        <f t="shared" si="7"/>
        <v>0</v>
      </c>
      <c r="AC10" s="229">
        <f t="shared" si="7"/>
        <v>0</v>
      </c>
      <c r="AD10" s="229">
        <f t="shared" si="7"/>
        <v>0</v>
      </c>
      <c r="AE10" s="229">
        <f t="shared" si="7"/>
        <v>0</v>
      </c>
      <c r="AF10" s="229">
        <f t="shared" si="7"/>
        <v>0</v>
      </c>
      <c r="AG10" s="229">
        <f t="shared" si="7"/>
        <v>0</v>
      </c>
      <c r="AH10" s="168"/>
      <c r="AI10" s="146"/>
      <c r="AJ10" s="3"/>
      <c r="AK10" s="3" t="str">
        <f>Expansion!BJ10</f>
        <v>Product B</v>
      </c>
      <c r="AL10" s="3" t="s">
        <v>528</v>
      </c>
      <c r="AM10" s="206">
        <v>1200</v>
      </c>
      <c r="AN10" s="206">
        <f>AM10</f>
        <v>1200</v>
      </c>
      <c r="AO10" s="206">
        <f>AN10</f>
        <v>1200</v>
      </c>
      <c r="AP10" s="146"/>
      <c r="AQ10" s="152">
        <v>1</v>
      </c>
      <c r="AR10" s="169" t="s">
        <v>165</v>
      </c>
      <c r="AS10" s="170"/>
      <c r="AT10" s="152"/>
      <c r="AU10" s="152"/>
      <c r="AV10" s="153"/>
      <c r="AW10" s="146"/>
      <c r="AX10" s="146"/>
      <c r="AY10" s="3"/>
      <c r="AZ10" s="3"/>
      <c r="BA10" s="208"/>
      <c r="BB10" s="208"/>
      <c r="BC10" s="208"/>
      <c r="BD10" s="208"/>
      <c r="BE10" s="208"/>
      <c r="BF10" s="208"/>
      <c r="BG10" s="208"/>
      <c r="BH10" s="208"/>
      <c r="BI10" s="208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</row>
    <row r="11" spans="1:101" ht="15.75" thickBot="1">
      <c r="A11" s="146"/>
      <c r="B11" s="146"/>
      <c r="C11" s="152"/>
      <c r="D11" s="3" t="s">
        <v>254</v>
      </c>
      <c r="E11" s="208"/>
      <c r="F11" s="208"/>
      <c r="G11" s="208"/>
      <c r="H11" s="146"/>
      <c r="I11" s="146"/>
      <c r="J11" s="3"/>
      <c r="K11" s="215" t="s">
        <v>24</v>
      </c>
      <c r="L11" s="214">
        <f>L9</f>
        <v>9.531350077556253</v>
      </c>
      <c r="M11" s="214">
        <f aca="true" t="shared" si="8" ref="M11:R11">M9</f>
        <v>9.724180477556251</v>
      </c>
      <c r="N11" s="214">
        <f t="shared" si="8"/>
        <v>9.921072635944032</v>
      </c>
      <c r="O11" s="214">
        <f t="shared" si="8"/>
        <v>10.119494088662913</v>
      </c>
      <c r="P11" s="214">
        <f t="shared" si="8"/>
        <v>10.321883970436172</v>
      </c>
      <c r="Q11" s="214">
        <f t="shared" si="8"/>
        <v>10.528321649844896</v>
      </c>
      <c r="R11" s="214">
        <f t="shared" si="8"/>
        <v>10.738888082841795</v>
      </c>
      <c r="S11" s="214">
        <f>S9</f>
        <v>10.953665844498632</v>
      </c>
      <c r="T11" s="214">
        <f>T9</f>
        <v>11.172739161388606</v>
      </c>
      <c r="U11" s="151"/>
      <c r="V11" s="146"/>
      <c r="W11" s="152"/>
      <c r="X11" s="152"/>
      <c r="Y11" s="153"/>
      <c r="Z11" s="153"/>
      <c r="AA11" s="153"/>
      <c r="AB11" s="153"/>
      <c r="AC11" s="153"/>
      <c r="AD11" s="153"/>
      <c r="AE11" s="153"/>
      <c r="AF11" s="153"/>
      <c r="AG11" s="153"/>
      <c r="AH11" s="151"/>
      <c r="AI11" s="146"/>
      <c r="AJ11" s="3"/>
      <c r="AK11" s="3"/>
      <c r="AL11" s="3"/>
      <c r="AM11" s="4"/>
      <c r="AN11" s="4"/>
      <c r="AO11" s="4"/>
      <c r="AP11" s="146"/>
      <c r="AQ11" s="152"/>
      <c r="AR11" s="170" t="s">
        <v>200</v>
      </c>
      <c r="AS11" s="170"/>
      <c r="AT11" s="152"/>
      <c r="AU11" s="152"/>
      <c r="AV11" s="153"/>
      <c r="AW11" s="146"/>
      <c r="AX11" s="146"/>
      <c r="AY11" s="3">
        <v>1</v>
      </c>
      <c r="AZ11" s="3" t="s">
        <v>555</v>
      </c>
      <c r="BA11" s="208">
        <v>1.9755459</v>
      </c>
      <c r="BB11" s="208">
        <f aca="true" t="shared" si="9" ref="BB11:BI11">+BA11</f>
        <v>1.9755459</v>
      </c>
      <c r="BC11" s="208">
        <f t="shared" si="9"/>
        <v>1.9755459</v>
      </c>
      <c r="BD11" s="208">
        <f t="shared" si="9"/>
        <v>1.9755459</v>
      </c>
      <c r="BE11" s="208">
        <f t="shared" si="9"/>
        <v>1.9755459</v>
      </c>
      <c r="BF11" s="208">
        <f t="shared" si="9"/>
        <v>1.9755459</v>
      </c>
      <c r="BG11" s="208">
        <f t="shared" si="9"/>
        <v>1.9755459</v>
      </c>
      <c r="BH11" s="208">
        <f t="shared" si="9"/>
        <v>1.9755459</v>
      </c>
      <c r="BI11" s="208">
        <f t="shared" si="9"/>
        <v>1.9755459</v>
      </c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</row>
    <row r="12" spans="1:101" ht="15.75" thickTop="1">
      <c r="A12" s="146"/>
      <c r="B12" s="146"/>
      <c r="C12" s="152"/>
      <c r="D12" s="3" t="s">
        <v>571</v>
      </c>
      <c r="E12" s="208">
        <v>0</v>
      </c>
      <c r="F12" s="208">
        <f>E12*102%</f>
        <v>0</v>
      </c>
      <c r="G12" s="208">
        <f>F12*102%</f>
        <v>0</v>
      </c>
      <c r="H12" s="156"/>
      <c r="I12" s="146"/>
      <c r="J12" s="152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1"/>
      <c r="V12" s="146"/>
      <c r="W12" s="3" t="s">
        <v>229</v>
      </c>
      <c r="X12" s="3" t="s">
        <v>230</v>
      </c>
      <c r="Y12" s="228">
        <f aca="true" t="shared" si="10" ref="Y12:AD12">+Y7-Y9</f>
        <v>1.5963865020911285</v>
      </c>
      <c r="Z12" s="228">
        <f t="shared" si="10"/>
        <v>1.6347945794070056</v>
      </c>
      <c r="AA12" s="228">
        <f t="shared" si="10"/>
        <v>1.673203068131129</v>
      </c>
      <c r="AB12" s="228">
        <f t="shared" si="10"/>
        <v>1.7099740668947603</v>
      </c>
      <c r="AC12" s="228">
        <f t="shared" si="10"/>
        <v>1.7469442506635113</v>
      </c>
      <c r="AD12" s="228">
        <f t="shared" si="10"/>
        <v>1.7841258704809912</v>
      </c>
      <c r="AE12" s="228">
        <f>+AE7-AE9</f>
        <v>1.821530081824251</v>
      </c>
      <c r="AF12" s="228">
        <f>+AF7-AF9</f>
        <v>1.8591669433608147</v>
      </c>
      <c r="AG12" s="228">
        <f>+AG7-AG9</f>
        <v>1.897045412329382</v>
      </c>
      <c r="AH12" s="230"/>
      <c r="AI12" s="146"/>
      <c r="AJ12" s="3">
        <f>+AJ8+1</f>
        <v>2</v>
      </c>
      <c r="AK12" s="3" t="s">
        <v>257</v>
      </c>
      <c r="AL12" s="3"/>
      <c r="AM12" s="3">
        <v>360</v>
      </c>
      <c r="AN12" s="3">
        <f>+AM12</f>
        <v>360</v>
      </c>
      <c r="AO12" s="3">
        <f>+AN12</f>
        <v>360</v>
      </c>
      <c r="AP12" s="146"/>
      <c r="AQ12" s="152"/>
      <c r="AR12" s="159"/>
      <c r="AS12" s="159"/>
      <c r="AT12" s="152"/>
      <c r="AU12" s="152"/>
      <c r="AV12" s="153"/>
      <c r="AW12" s="146"/>
      <c r="AX12" s="146"/>
      <c r="AY12" s="3">
        <v>2</v>
      </c>
      <c r="AZ12" s="3" t="s">
        <v>240</v>
      </c>
      <c r="BA12" s="208">
        <f>1.8713325+Y12</f>
        <v>3.467719002091129</v>
      </c>
      <c r="BB12" s="208">
        <f aca="true" t="shared" si="11" ref="BB12:BI12">+BA12+Z12</f>
        <v>5.102513581498134</v>
      </c>
      <c r="BC12" s="208">
        <f t="shared" si="11"/>
        <v>6.775716649629263</v>
      </c>
      <c r="BD12" s="208">
        <f t="shared" si="11"/>
        <v>8.485690716524024</v>
      </c>
      <c r="BE12" s="208">
        <f t="shared" si="11"/>
        <v>10.232634967187536</v>
      </c>
      <c r="BF12" s="208">
        <f t="shared" si="11"/>
        <v>12.016760837668528</v>
      </c>
      <c r="BG12" s="208">
        <f t="shared" si="11"/>
        <v>13.83829091949278</v>
      </c>
      <c r="BH12" s="208">
        <f t="shared" si="11"/>
        <v>15.697457862853595</v>
      </c>
      <c r="BI12" s="208">
        <f t="shared" si="11"/>
        <v>17.594503275182976</v>
      </c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</row>
    <row r="13" spans="1:101" ht="15">
      <c r="A13" s="146"/>
      <c r="B13" s="1"/>
      <c r="C13" s="3"/>
      <c r="D13" s="3" t="s">
        <v>595</v>
      </c>
      <c r="E13" s="208">
        <f>AM24*74000/10000000</f>
        <v>8.88</v>
      </c>
      <c r="F13" s="208">
        <f>E13*102%</f>
        <v>9.0576</v>
      </c>
      <c r="G13" s="208">
        <f>F13*102%</f>
        <v>9.238752000000002</v>
      </c>
      <c r="H13" s="146"/>
      <c r="I13" s="171">
        <v>0.05</v>
      </c>
      <c r="J13" s="152" t="s">
        <v>227</v>
      </c>
      <c r="K13" s="223" t="s">
        <v>228</v>
      </c>
      <c r="L13" s="208"/>
      <c r="M13" s="208"/>
      <c r="N13" s="208"/>
      <c r="O13" s="208"/>
      <c r="P13" s="208"/>
      <c r="Q13" s="208"/>
      <c r="R13" s="208"/>
      <c r="S13" s="208"/>
      <c r="T13" s="208"/>
      <c r="U13" s="151"/>
      <c r="V13" s="146"/>
      <c r="W13" s="152"/>
      <c r="X13" s="152"/>
      <c r="Y13" s="153"/>
      <c r="Z13" s="153"/>
      <c r="AA13" s="153"/>
      <c r="AB13" s="153"/>
      <c r="AC13" s="153"/>
      <c r="AD13" s="153"/>
      <c r="AE13" s="153"/>
      <c r="AF13" s="153"/>
      <c r="AG13" s="153"/>
      <c r="AH13" s="151"/>
      <c r="AI13" s="146"/>
      <c r="AJ13" s="3"/>
      <c r="AK13" s="3"/>
      <c r="AL13" s="3"/>
      <c r="AM13" s="3"/>
      <c r="AN13" s="3"/>
      <c r="AO13" s="3"/>
      <c r="AP13" s="146"/>
      <c r="AQ13" s="152"/>
      <c r="AR13" s="172" t="s">
        <v>198</v>
      </c>
      <c r="AS13" s="173" t="s">
        <v>239</v>
      </c>
      <c r="AT13" s="152"/>
      <c r="AU13" s="152"/>
      <c r="AV13" s="153"/>
      <c r="AW13" s="146"/>
      <c r="AX13" s="146"/>
      <c r="AY13" s="215" t="s">
        <v>587</v>
      </c>
      <c r="AZ13" s="3" t="s">
        <v>586</v>
      </c>
      <c r="BA13" s="208">
        <v>0</v>
      </c>
      <c r="BB13" s="208">
        <f>BA13</f>
        <v>0</v>
      </c>
      <c r="BC13" s="208">
        <f>BB13</f>
        <v>0</v>
      </c>
      <c r="BD13" s="208">
        <f>BC13</f>
        <v>0</v>
      </c>
      <c r="BE13" s="208">
        <v>10</v>
      </c>
      <c r="BF13" s="208">
        <f>BE13</f>
        <v>10</v>
      </c>
      <c r="BG13" s="208">
        <v>0</v>
      </c>
      <c r="BH13" s="208">
        <f>BG13</f>
        <v>0</v>
      </c>
      <c r="BI13" s="208">
        <f>BH13</f>
        <v>0</v>
      </c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</row>
    <row r="14" spans="1:101" ht="15">
      <c r="A14" s="146"/>
      <c r="B14" s="1"/>
      <c r="C14" s="3"/>
      <c r="D14" s="3"/>
      <c r="E14" s="208"/>
      <c r="F14" s="208"/>
      <c r="G14" s="208"/>
      <c r="H14" s="146"/>
      <c r="I14" s="171">
        <v>0.05</v>
      </c>
      <c r="J14" s="152"/>
      <c r="K14" s="3" t="s">
        <v>200</v>
      </c>
      <c r="L14" s="208">
        <v>0.077722</v>
      </c>
      <c r="M14" s="208">
        <f aca="true" t="shared" si="12" ref="M14:R14">L14+L14*$I13</f>
        <v>0.0816081</v>
      </c>
      <c r="N14" s="208">
        <f t="shared" si="12"/>
        <v>0.085688505</v>
      </c>
      <c r="O14" s="208">
        <f t="shared" si="12"/>
        <v>0.08997293025</v>
      </c>
      <c r="P14" s="208">
        <f t="shared" si="12"/>
        <v>0.0944715767625</v>
      </c>
      <c r="Q14" s="208">
        <f t="shared" si="12"/>
        <v>0.099195155600625</v>
      </c>
      <c r="R14" s="208">
        <f t="shared" si="12"/>
        <v>0.10415491338065624</v>
      </c>
      <c r="S14" s="208">
        <f>R14+R14*$I13</f>
        <v>0.10936265904968906</v>
      </c>
      <c r="T14" s="208">
        <f>S14+S14*$I13</f>
        <v>0.11483079200217351</v>
      </c>
      <c r="U14" s="151"/>
      <c r="V14" s="146"/>
      <c r="W14" s="152"/>
      <c r="X14" s="3" t="s">
        <v>248</v>
      </c>
      <c r="Y14" s="208"/>
      <c r="Z14" s="208"/>
      <c r="AA14" s="208"/>
      <c r="AB14" s="208"/>
      <c r="AC14" s="208"/>
      <c r="AD14" s="208"/>
      <c r="AE14" s="208"/>
      <c r="AF14" s="208"/>
      <c r="AG14" s="208"/>
      <c r="AH14" s="151"/>
      <c r="AI14" s="146"/>
      <c r="AJ14" s="3"/>
      <c r="AK14" s="3"/>
      <c r="AL14" s="3"/>
      <c r="AM14" s="3"/>
      <c r="AN14" s="3"/>
      <c r="AO14" s="3"/>
      <c r="AP14" s="146"/>
      <c r="AQ14" s="152"/>
      <c r="AR14" s="159"/>
      <c r="AS14" s="159"/>
      <c r="AT14" s="152"/>
      <c r="AU14" s="152"/>
      <c r="AV14" s="153"/>
      <c r="AW14" s="146"/>
      <c r="AX14" s="146"/>
      <c r="AY14" s="3"/>
      <c r="AZ14" s="3"/>
      <c r="BA14" s="217">
        <f>SUM(BA11:BA13)</f>
        <v>5.443264902091129</v>
      </c>
      <c r="BB14" s="217">
        <f aca="true" t="shared" si="13" ref="BB14:BI14">SUM(BB11:BB13)</f>
        <v>7.078059481498134</v>
      </c>
      <c r="BC14" s="217">
        <f t="shared" si="13"/>
        <v>8.751262549629264</v>
      </c>
      <c r="BD14" s="217">
        <f t="shared" si="13"/>
        <v>10.461236616524024</v>
      </c>
      <c r="BE14" s="217">
        <f t="shared" si="13"/>
        <v>22.208180867187536</v>
      </c>
      <c r="BF14" s="217">
        <f t="shared" si="13"/>
        <v>23.992306737668528</v>
      </c>
      <c r="BG14" s="217">
        <f t="shared" si="13"/>
        <v>15.81383681949278</v>
      </c>
      <c r="BH14" s="217">
        <f t="shared" si="13"/>
        <v>17.673003762853593</v>
      </c>
      <c r="BI14" s="217">
        <f t="shared" si="13"/>
        <v>19.570049175182977</v>
      </c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</row>
    <row r="15" spans="1:101" ht="15.75">
      <c r="A15" s="146"/>
      <c r="B15" s="1"/>
      <c r="C15" s="3"/>
      <c r="D15" s="211" t="s">
        <v>550</v>
      </c>
      <c r="E15" s="50">
        <f>+(((AM24/100)*4)*2400)/10000000</f>
        <v>0.01152</v>
      </c>
      <c r="F15" s="208">
        <f>E15*102%</f>
        <v>0.011750400000000001</v>
      </c>
      <c r="G15" s="208">
        <f>F15*102%</f>
        <v>0.011985408000000001</v>
      </c>
      <c r="H15" s="146"/>
      <c r="I15" s="171">
        <v>0.05</v>
      </c>
      <c r="J15" s="152"/>
      <c r="K15" s="3" t="s">
        <v>255</v>
      </c>
      <c r="L15" s="208"/>
      <c r="M15" s="208"/>
      <c r="N15" s="208"/>
      <c r="O15" s="208"/>
      <c r="P15" s="208"/>
      <c r="Q15" s="208"/>
      <c r="R15" s="208"/>
      <c r="S15" s="208"/>
      <c r="T15" s="208"/>
      <c r="U15" s="151"/>
      <c r="V15" s="146"/>
      <c r="W15" s="152"/>
      <c r="X15" s="3" t="s">
        <v>256</v>
      </c>
      <c r="Y15" s="208">
        <f aca="true" t="shared" si="14" ref="Y15:AD15">+L38</f>
        <v>0.1607144925</v>
      </c>
      <c r="Z15" s="208">
        <f t="shared" si="14"/>
        <v>0.15267876787499998</v>
      </c>
      <c r="AA15" s="208">
        <f t="shared" si="14"/>
        <v>0.14504482948124997</v>
      </c>
      <c r="AB15" s="208">
        <f t="shared" si="14"/>
        <v>0.13779258800718747</v>
      </c>
      <c r="AC15" s="208">
        <f t="shared" si="14"/>
        <v>0.13090295860682807</v>
      </c>
      <c r="AD15" s="208">
        <f t="shared" si="14"/>
        <v>0.12435781067648666</v>
      </c>
      <c r="AE15" s="208">
        <f>+R38</f>
        <v>0.11813992014266232</v>
      </c>
      <c r="AF15" s="208">
        <f>+S38</f>
        <v>0.1122329241355292</v>
      </c>
      <c r="AG15" s="208">
        <f>+T38</f>
        <v>0.10662127792875273</v>
      </c>
      <c r="AH15" s="151"/>
      <c r="AI15" s="146"/>
      <c r="AJ15" s="3">
        <f>+AJ12+1</f>
        <v>3</v>
      </c>
      <c r="AK15" s="3" t="s">
        <v>279</v>
      </c>
      <c r="AL15" s="3"/>
      <c r="AM15" s="3">
        <v>3</v>
      </c>
      <c r="AN15" s="3">
        <f>+AM15</f>
        <v>3</v>
      </c>
      <c r="AO15" s="3">
        <f>+AN15</f>
        <v>3</v>
      </c>
      <c r="AP15" s="146"/>
      <c r="AQ15" s="152"/>
      <c r="AR15" s="159"/>
      <c r="AS15" s="159" t="s">
        <v>258</v>
      </c>
      <c r="AT15" s="152">
        <v>28</v>
      </c>
      <c r="AU15" s="152">
        <v>8000</v>
      </c>
      <c r="AV15" s="153">
        <f>+AU15*AT15/10000000*12</f>
        <v>0.2688</v>
      </c>
      <c r="AW15" s="146"/>
      <c r="AX15" s="146"/>
      <c r="AY15" s="3"/>
      <c r="AZ15" s="3"/>
      <c r="BA15" s="208"/>
      <c r="BB15" s="208"/>
      <c r="BC15" s="208"/>
      <c r="BD15" s="208"/>
      <c r="BE15" s="208"/>
      <c r="BF15" s="208"/>
      <c r="BG15" s="208"/>
      <c r="BH15" s="208"/>
      <c r="BI15" s="208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</row>
    <row r="16" spans="1:101" ht="15">
      <c r="A16" s="146"/>
      <c r="B16" s="1"/>
      <c r="C16" s="3"/>
      <c r="D16" s="3" t="s">
        <v>307</v>
      </c>
      <c r="E16" s="208"/>
      <c r="F16" s="208"/>
      <c r="G16" s="208"/>
      <c r="H16" s="146"/>
      <c r="I16" s="171"/>
      <c r="J16" s="152"/>
      <c r="K16" s="3" t="s">
        <v>269</v>
      </c>
      <c r="L16" s="208"/>
      <c r="M16" s="208"/>
      <c r="N16" s="208"/>
      <c r="O16" s="208"/>
      <c r="P16" s="208"/>
      <c r="Q16" s="208"/>
      <c r="R16" s="208"/>
      <c r="S16" s="208"/>
      <c r="T16" s="208"/>
      <c r="U16" s="151"/>
      <c r="V16" s="146"/>
      <c r="W16" s="152"/>
      <c r="X16" s="3" t="s">
        <v>270</v>
      </c>
      <c r="Y16" s="208">
        <f aca="true" t="shared" si="15" ref="Y16:AD16">+L42</f>
        <v>0</v>
      </c>
      <c r="Z16" s="208">
        <f t="shared" si="15"/>
        <v>0</v>
      </c>
      <c r="AA16" s="208">
        <f t="shared" si="15"/>
        <v>0</v>
      </c>
      <c r="AB16" s="208">
        <f t="shared" si="15"/>
        <v>0</v>
      </c>
      <c r="AC16" s="208">
        <f t="shared" si="15"/>
        <v>0</v>
      </c>
      <c r="AD16" s="208">
        <f t="shared" si="15"/>
        <v>0</v>
      </c>
      <c r="AE16" s="208">
        <f>+R42</f>
        <v>0</v>
      </c>
      <c r="AF16" s="208">
        <f>+S42</f>
        <v>0</v>
      </c>
      <c r="AG16" s="208">
        <f>+T42</f>
        <v>0</v>
      </c>
      <c r="AH16" s="151"/>
      <c r="AI16" s="146"/>
      <c r="AJ16" s="3"/>
      <c r="AK16" s="3"/>
      <c r="AL16" s="3"/>
      <c r="AM16" s="3"/>
      <c r="AN16" s="3"/>
      <c r="AO16" s="3"/>
      <c r="AP16" s="146"/>
      <c r="AQ16" s="152"/>
      <c r="AR16" s="159"/>
      <c r="AS16" s="159" t="s">
        <v>271</v>
      </c>
      <c r="AT16" s="152">
        <v>14</v>
      </c>
      <c r="AU16" s="152">
        <v>3000</v>
      </c>
      <c r="AV16" s="153">
        <f>+AU16*AT16/10000000*12</f>
        <v>0.0504</v>
      </c>
      <c r="AW16" s="146"/>
      <c r="AX16" s="146"/>
      <c r="AY16" s="3">
        <f>+AY12+1</f>
        <v>3</v>
      </c>
      <c r="AZ16" s="3" t="s">
        <v>273</v>
      </c>
      <c r="BA16" s="208"/>
      <c r="BB16" s="208"/>
      <c r="BC16" s="208"/>
      <c r="BD16" s="208"/>
      <c r="BE16" s="208"/>
      <c r="BF16" s="208"/>
      <c r="BG16" s="208"/>
      <c r="BH16" s="208"/>
      <c r="BI16" s="208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</row>
    <row r="17" spans="1:101" ht="15">
      <c r="A17" s="146"/>
      <c r="B17" s="1"/>
      <c r="C17" s="3"/>
      <c r="D17" s="3"/>
      <c r="E17" s="208"/>
      <c r="F17" s="208"/>
      <c r="G17" s="208"/>
      <c r="H17" s="146">
        <f>(75526+53004)/10000000</f>
        <v>0.012853</v>
      </c>
      <c r="I17" s="171">
        <v>0.05</v>
      </c>
      <c r="J17" s="152"/>
      <c r="K17" s="3" t="s">
        <v>278</v>
      </c>
      <c r="L17" s="208">
        <v>0.012853</v>
      </c>
      <c r="M17" s="208">
        <f aca="true" t="shared" si="16" ref="M17:R18">L17+L17*$I17</f>
        <v>0.01349565</v>
      </c>
      <c r="N17" s="208">
        <f t="shared" si="16"/>
        <v>0.0141704325</v>
      </c>
      <c r="O17" s="208">
        <f t="shared" si="16"/>
        <v>0.014878954125</v>
      </c>
      <c r="P17" s="208">
        <f t="shared" si="16"/>
        <v>0.01562290183125</v>
      </c>
      <c r="Q17" s="208">
        <f t="shared" si="16"/>
        <v>0.0164040469228125</v>
      </c>
      <c r="R17" s="208">
        <f t="shared" si="16"/>
        <v>0.017224249268953124</v>
      </c>
      <c r="S17" s="208">
        <f>R17+R17*$I17</f>
        <v>0.01808546173240078</v>
      </c>
      <c r="T17" s="208">
        <f>S17+S17*$I17</f>
        <v>0.018989734819020818</v>
      </c>
      <c r="U17" s="151"/>
      <c r="V17" s="146"/>
      <c r="W17" s="152"/>
      <c r="X17" s="152"/>
      <c r="Y17" s="153"/>
      <c r="Z17" s="153"/>
      <c r="AA17" s="153"/>
      <c r="AB17" s="153"/>
      <c r="AC17" s="153"/>
      <c r="AD17" s="153"/>
      <c r="AE17" s="153"/>
      <c r="AF17" s="153"/>
      <c r="AG17" s="153"/>
      <c r="AH17" s="151"/>
      <c r="AI17" s="146"/>
      <c r="AJ17" s="3"/>
      <c r="AK17" s="3"/>
      <c r="AL17" s="3"/>
      <c r="AM17" s="3"/>
      <c r="AN17" s="3"/>
      <c r="AO17" s="3"/>
      <c r="AP17" s="146"/>
      <c r="AQ17" s="152"/>
      <c r="AR17" s="159"/>
      <c r="AS17" s="159"/>
      <c r="AT17" s="152"/>
      <c r="AU17" s="152"/>
      <c r="AV17" s="150">
        <f>SUM(AV15:AV16)</f>
        <v>0.3192</v>
      </c>
      <c r="AW17" s="146"/>
      <c r="AX17" s="146"/>
      <c r="AY17" s="3"/>
      <c r="AZ17" s="3" t="s">
        <v>281</v>
      </c>
      <c r="BA17" s="208">
        <f>'Existing Term Loan Chart'!G18/10000000</f>
        <v>0</v>
      </c>
      <c r="BB17" s="208">
        <f>'Existing Term Loan Chart'!H18/10000000</f>
        <v>0</v>
      </c>
      <c r="BC17" s="208">
        <f>'Existing Term Loan Chart'!I18/10000000</f>
        <v>0</v>
      </c>
      <c r="BD17" s="208">
        <f>'Existing Term Loan Chart'!J18/10000000</f>
        <v>0</v>
      </c>
      <c r="BE17" s="208">
        <f>'Existing Term Loan Chart'!K18/10000000</f>
        <v>0</v>
      </c>
      <c r="BF17" s="208">
        <f>'Existing Term Loan Chart'!L18/10000000</f>
        <v>0</v>
      </c>
      <c r="BG17" s="208">
        <f>'Existing Term Loan Chart'!M18/10000000</f>
        <v>0</v>
      </c>
      <c r="BH17" s="208">
        <f>'Existing Term Loan Chart'!N18/10000000</f>
        <v>0</v>
      </c>
      <c r="BI17" s="208">
        <f>'Existing Term Loan Chart'!O18/10000000</f>
        <v>0</v>
      </c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</row>
    <row r="18" spans="1:101" ht="15">
      <c r="A18" s="146"/>
      <c r="B18" s="1"/>
      <c r="C18" s="3"/>
      <c r="D18" s="3" t="s">
        <v>551</v>
      </c>
      <c r="E18" s="208">
        <f>2500*$AM$24/10000000</f>
        <v>0.3</v>
      </c>
      <c r="F18" s="208">
        <f>E18*102%</f>
        <v>0.306</v>
      </c>
      <c r="G18" s="208">
        <f>F18*102%</f>
        <v>0.31212</v>
      </c>
      <c r="H18" s="146">
        <f>(261326+449424)/10000000</f>
        <v>0.071075</v>
      </c>
      <c r="I18" s="171">
        <v>0.05</v>
      </c>
      <c r="J18" s="152"/>
      <c r="K18" s="3" t="s">
        <v>288</v>
      </c>
      <c r="L18" s="208">
        <v>0.071705</v>
      </c>
      <c r="M18" s="208">
        <f t="shared" si="16"/>
        <v>0.07529025</v>
      </c>
      <c r="N18" s="208">
        <f t="shared" si="16"/>
        <v>0.0790547625</v>
      </c>
      <c r="O18" s="208">
        <f t="shared" si="16"/>
        <v>0.083007500625</v>
      </c>
      <c r="P18" s="208">
        <f t="shared" si="16"/>
        <v>0.08715787565625</v>
      </c>
      <c r="Q18" s="208">
        <f t="shared" si="16"/>
        <v>0.09151576943906249</v>
      </c>
      <c r="R18" s="208">
        <f t="shared" si="16"/>
        <v>0.09609155791101562</v>
      </c>
      <c r="S18" s="208">
        <f>R18+R18*$I18</f>
        <v>0.1008961358065664</v>
      </c>
      <c r="T18" s="208">
        <f>S18+S18*$I18</f>
        <v>0.10594094259689471</v>
      </c>
      <c r="U18" s="151"/>
      <c r="V18" s="146"/>
      <c r="W18" s="3" t="s">
        <v>289</v>
      </c>
      <c r="X18" s="3" t="s">
        <v>118</v>
      </c>
      <c r="Y18" s="217">
        <f aca="true" t="shared" si="17" ref="Y18:AD18">+Y12+Y16+Y15</f>
        <v>1.7571009945911285</v>
      </c>
      <c r="Z18" s="217">
        <f t="shared" si="17"/>
        <v>1.7874733472820055</v>
      </c>
      <c r="AA18" s="217">
        <f t="shared" si="17"/>
        <v>1.818247897612379</v>
      </c>
      <c r="AB18" s="217">
        <f t="shared" si="17"/>
        <v>1.8477666549019478</v>
      </c>
      <c r="AC18" s="217">
        <f t="shared" si="17"/>
        <v>1.8778472092703393</v>
      </c>
      <c r="AD18" s="217">
        <f t="shared" si="17"/>
        <v>1.908483681157478</v>
      </c>
      <c r="AE18" s="217">
        <f>+AE12+AE16+AE15</f>
        <v>1.9396700019669133</v>
      </c>
      <c r="AF18" s="217">
        <f>+AF12+AF16+AF15</f>
        <v>1.9713998674963438</v>
      </c>
      <c r="AG18" s="217">
        <f>+AG12+AG16+AG15</f>
        <v>2.0036666902581346</v>
      </c>
      <c r="AH18" s="151"/>
      <c r="AI18" s="146"/>
      <c r="AJ18" s="3">
        <f>+AJ15+1</f>
        <v>4</v>
      </c>
      <c r="AK18" s="207" t="s">
        <v>300</v>
      </c>
      <c r="AL18" s="3"/>
      <c r="AM18" s="3"/>
      <c r="AN18" s="3"/>
      <c r="AO18" s="3"/>
      <c r="AP18" s="146"/>
      <c r="AQ18" s="152"/>
      <c r="AR18" s="159"/>
      <c r="AS18" s="159" t="s">
        <v>531</v>
      </c>
      <c r="AT18" s="152"/>
      <c r="AU18" s="152"/>
      <c r="AV18" s="153">
        <f>ROUND(AV17*0.1,2)</f>
        <v>0.03</v>
      </c>
      <c r="AW18" s="146"/>
      <c r="AX18" s="146"/>
      <c r="AY18" s="3"/>
      <c r="AZ18" s="3" t="s">
        <v>601</v>
      </c>
      <c r="BA18" s="208">
        <f>1.270137-0.523585</f>
        <v>0.7465520000000001</v>
      </c>
      <c r="BB18" s="208">
        <f>BA18-0.746552</f>
        <v>0</v>
      </c>
      <c r="BC18" s="208">
        <f>+BB18</f>
        <v>0</v>
      </c>
      <c r="BD18" s="208">
        <f>+BC18</f>
        <v>0</v>
      </c>
      <c r="BE18" s="208">
        <f>BD18</f>
        <v>0</v>
      </c>
      <c r="BF18" s="208">
        <f>BE18</f>
        <v>0</v>
      </c>
      <c r="BG18" s="208">
        <f>BF18</f>
        <v>0</v>
      </c>
      <c r="BH18" s="208">
        <f>BG18</f>
        <v>0</v>
      </c>
      <c r="BI18" s="208">
        <f>BH18</f>
        <v>0</v>
      </c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</row>
    <row r="19" spans="1:101" ht="15">
      <c r="A19" s="146"/>
      <c r="B19" s="1"/>
      <c r="C19" s="3"/>
      <c r="D19" s="3"/>
      <c r="E19" s="208"/>
      <c r="F19" s="208"/>
      <c r="G19" s="208"/>
      <c r="H19" s="146"/>
      <c r="I19" s="146"/>
      <c r="J19" s="152"/>
      <c r="K19" s="224" t="s">
        <v>299</v>
      </c>
      <c r="L19" s="217">
        <f aca="true" t="shared" si="18" ref="L19:Q19">SUM(L12:L18)</f>
        <v>0.16228</v>
      </c>
      <c r="M19" s="217">
        <f t="shared" si="18"/>
        <v>0.170394</v>
      </c>
      <c r="N19" s="217">
        <f t="shared" si="18"/>
        <v>0.1789137</v>
      </c>
      <c r="O19" s="217">
        <f t="shared" si="18"/>
        <v>0.187859385</v>
      </c>
      <c r="P19" s="217">
        <f t="shared" si="18"/>
        <v>0.19725235424999998</v>
      </c>
      <c r="Q19" s="217">
        <f t="shared" si="18"/>
        <v>0.2071149719625</v>
      </c>
      <c r="R19" s="217">
        <f>SUM(R12:R18)</f>
        <v>0.217470720560625</v>
      </c>
      <c r="S19" s="217">
        <f>SUM(S12:S18)</f>
        <v>0.22834425658865623</v>
      </c>
      <c r="T19" s="217">
        <f>SUM(T12:T18)</f>
        <v>0.23976146941808904</v>
      </c>
      <c r="U19" s="151"/>
      <c r="V19" s="146"/>
      <c r="W19" s="152"/>
      <c r="X19" s="152"/>
      <c r="Y19" s="153"/>
      <c r="Z19" s="153"/>
      <c r="AA19" s="153"/>
      <c r="AB19" s="153"/>
      <c r="AC19" s="153"/>
      <c r="AD19" s="153"/>
      <c r="AE19" s="153"/>
      <c r="AF19" s="153"/>
      <c r="AG19" s="153"/>
      <c r="AH19" s="151"/>
      <c r="AI19" s="146"/>
      <c r="AJ19" s="3"/>
      <c r="AK19" s="3" t="str">
        <f>+AK9</f>
        <v>Product A</v>
      </c>
      <c r="AL19" s="3" t="str">
        <f>+AL9</f>
        <v>Ton</v>
      </c>
      <c r="AM19" s="208">
        <f>+AM23/AM12</f>
        <v>0</v>
      </c>
      <c r="AN19" s="208">
        <f>+AM19</f>
        <v>0</v>
      </c>
      <c r="AO19" s="208">
        <f>+AN19</f>
        <v>0</v>
      </c>
      <c r="AP19" s="146"/>
      <c r="AQ19" s="152"/>
      <c r="AR19" s="159"/>
      <c r="AS19" s="159"/>
      <c r="AT19" s="152"/>
      <c r="AU19" s="152"/>
      <c r="AV19" s="174">
        <f>+AV17+AV18</f>
        <v>0.34919999999999995</v>
      </c>
      <c r="AW19" s="146"/>
      <c r="AX19" s="146"/>
      <c r="AY19" s="3"/>
      <c r="AZ19" s="3"/>
      <c r="BA19" s="217">
        <f aca="true" t="shared" si="19" ref="BA19:BF19">+BA18+BA17</f>
        <v>0.7465520000000001</v>
      </c>
      <c r="BB19" s="217">
        <f t="shared" si="19"/>
        <v>0</v>
      </c>
      <c r="BC19" s="217">
        <f t="shared" si="19"/>
        <v>0</v>
      </c>
      <c r="BD19" s="217">
        <f t="shared" si="19"/>
        <v>0</v>
      </c>
      <c r="BE19" s="217">
        <f t="shared" si="19"/>
        <v>0</v>
      </c>
      <c r="BF19" s="217">
        <f t="shared" si="19"/>
        <v>0</v>
      </c>
      <c r="BG19" s="217">
        <f>+BG18+BG17</f>
        <v>0</v>
      </c>
      <c r="BH19" s="217">
        <f>+BH18+BH17</f>
        <v>0</v>
      </c>
      <c r="BI19" s="217">
        <f>+BI18+BI17</f>
        <v>0</v>
      </c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</row>
    <row r="20" spans="1:101" ht="15">
      <c r="A20" s="146"/>
      <c r="B20" s="1"/>
      <c r="C20" s="3"/>
      <c r="D20" s="218" t="s">
        <v>338</v>
      </c>
      <c r="E20" s="217">
        <f>SUM(E9:E19)</f>
        <v>9.191520000000002</v>
      </c>
      <c r="F20" s="217">
        <f>SUM(F9:F19)</f>
        <v>9.3753504</v>
      </c>
      <c r="G20" s="217">
        <f>SUM(G9:G19)</f>
        <v>9.562857408000001</v>
      </c>
      <c r="H20" s="146"/>
      <c r="I20" s="146"/>
      <c r="J20" s="152"/>
      <c r="K20" s="3"/>
      <c r="L20" s="208"/>
      <c r="M20" s="208"/>
      <c r="N20" s="208"/>
      <c r="O20" s="208"/>
      <c r="P20" s="208"/>
      <c r="Q20" s="208"/>
      <c r="R20" s="208"/>
      <c r="S20" s="208"/>
      <c r="T20" s="208"/>
      <c r="U20" s="151"/>
      <c r="V20" s="146"/>
      <c r="W20" s="152"/>
      <c r="X20" s="211" t="s">
        <v>596</v>
      </c>
      <c r="Y20" s="231">
        <f>L40/L30</f>
        <v>0.18691386973654905</v>
      </c>
      <c r="Z20" s="231">
        <f aca="true" t="shared" si="20" ref="Z20:AG20">M40/M30</f>
        <v>0.18765774752274486</v>
      </c>
      <c r="AA20" s="231">
        <f t="shared" si="20"/>
        <v>0.18830063761998408</v>
      </c>
      <c r="AB20" s="231">
        <f t="shared" si="20"/>
        <v>0.18866549987719766</v>
      </c>
      <c r="AC20" s="231">
        <f t="shared" si="20"/>
        <v>0.18896520397468158</v>
      </c>
      <c r="AD20" s="231">
        <f t="shared" si="20"/>
        <v>0.18920304159222973</v>
      </c>
      <c r="AE20" s="231">
        <f t="shared" si="20"/>
        <v>0.18938204380537654</v>
      </c>
      <c r="AF20" s="231">
        <f t="shared" si="20"/>
        <v>0.18950499794927791</v>
      </c>
      <c r="AG20" s="231">
        <f t="shared" si="20"/>
        <v>0.1895744632952457</v>
      </c>
      <c r="AH20" s="175"/>
      <c r="AI20" s="146"/>
      <c r="AJ20" s="3"/>
      <c r="AK20" s="3" t="str">
        <f>+AK10</f>
        <v>Product B</v>
      </c>
      <c r="AL20" s="3" t="str">
        <f>+AL10</f>
        <v>Ton</v>
      </c>
      <c r="AM20" s="208">
        <f>+AM24/AM12</f>
        <v>3.3333333333333335</v>
      </c>
      <c r="AN20" s="208">
        <f>+AM20</f>
        <v>3.3333333333333335</v>
      </c>
      <c r="AO20" s="208">
        <f>+AN20</f>
        <v>3.3333333333333335</v>
      </c>
      <c r="AP20" s="146"/>
      <c r="AQ20" s="152"/>
      <c r="AR20" s="159"/>
      <c r="AS20" s="159"/>
      <c r="AT20" s="152"/>
      <c r="AU20" s="152"/>
      <c r="AV20" s="153"/>
      <c r="AW20" s="146"/>
      <c r="AX20" s="146"/>
      <c r="AY20" s="3"/>
      <c r="AZ20" s="3"/>
      <c r="BA20" s="208"/>
      <c r="BB20" s="208"/>
      <c r="BC20" s="208"/>
      <c r="BD20" s="208"/>
      <c r="BE20" s="208"/>
      <c r="BF20" s="208"/>
      <c r="BG20" s="208"/>
      <c r="BH20" s="208"/>
      <c r="BI20" s="208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</row>
    <row r="21" spans="1:101" ht="15">
      <c r="A21" s="146"/>
      <c r="B21" s="1"/>
      <c r="C21" s="3"/>
      <c r="D21" s="3"/>
      <c r="E21" s="208"/>
      <c r="F21" s="208"/>
      <c r="G21" s="208"/>
      <c r="H21" s="146"/>
      <c r="I21" s="146"/>
      <c r="J21" s="152"/>
      <c r="K21" s="152"/>
      <c r="L21" s="153"/>
      <c r="M21" s="153"/>
      <c r="N21" s="153"/>
      <c r="O21" s="153"/>
      <c r="P21" s="153"/>
      <c r="Q21" s="153"/>
      <c r="R21" s="153"/>
      <c r="S21" s="153"/>
      <c r="T21" s="153"/>
      <c r="U21" s="151"/>
      <c r="V21" s="146"/>
      <c r="W21" s="152"/>
      <c r="X21" s="152"/>
      <c r="Y21" s="153"/>
      <c r="Z21" s="153"/>
      <c r="AA21" s="153"/>
      <c r="AB21" s="153"/>
      <c r="AC21" s="153"/>
      <c r="AD21" s="153"/>
      <c r="AE21" s="153"/>
      <c r="AF21" s="153"/>
      <c r="AG21" s="153"/>
      <c r="AH21" s="151"/>
      <c r="AI21" s="146"/>
      <c r="AJ21" s="3"/>
      <c r="AK21" s="3"/>
      <c r="AL21" s="3"/>
      <c r="AM21" s="3"/>
      <c r="AN21" s="3"/>
      <c r="AO21" s="3"/>
      <c r="AP21" s="146"/>
      <c r="AQ21" s="152"/>
      <c r="AR21" s="176" t="s">
        <v>246</v>
      </c>
      <c r="AS21" s="173" t="s">
        <v>323</v>
      </c>
      <c r="AT21" s="152"/>
      <c r="AU21" s="152"/>
      <c r="AV21" s="153"/>
      <c r="AW21" s="146"/>
      <c r="AX21" s="146"/>
      <c r="AY21" s="3">
        <f>+AY16+1</f>
        <v>4</v>
      </c>
      <c r="AZ21" s="3" t="s">
        <v>552</v>
      </c>
      <c r="BA21" s="208">
        <f aca="true" t="shared" si="21" ref="BA21:BI21">+(L11/12)*3</f>
        <v>2.382837519389063</v>
      </c>
      <c r="BB21" s="208">
        <f t="shared" si="21"/>
        <v>2.4310451193890628</v>
      </c>
      <c r="BC21" s="208">
        <f t="shared" si="21"/>
        <v>2.480268158986008</v>
      </c>
      <c r="BD21" s="208">
        <f t="shared" si="21"/>
        <v>2.5298735221657283</v>
      </c>
      <c r="BE21" s="208">
        <f t="shared" si="21"/>
        <v>2.580470992609043</v>
      </c>
      <c r="BF21" s="208">
        <f t="shared" si="21"/>
        <v>2.632080412461224</v>
      </c>
      <c r="BG21" s="208">
        <f t="shared" si="21"/>
        <v>2.6847220207104487</v>
      </c>
      <c r="BH21" s="208">
        <f t="shared" si="21"/>
        <v>2.738416461124658</v>
      </c>
      <c r="BI21" s="208">
        <f t="shared" si="21"/>
        <v>2.7931847903471514</v>
      </c>
      <c r="BJ21" s="146"/>
      <c r="BK21" s="146"/>
      <c r="BL21" s="146"/>
      <c r="BM21" s="146" t="s">
        <v>0</v>
      </c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</row>
    <row r="22" spans="1:101" ht="15.75" thickBot="1">
      <c r="A22" s="146"/>
      <c r="B22" s="1"/>
      <c r="C22" s="3">
        <f>+C9+1</f>
        <v>2</v>
      </c>
      <c r="D22" s="3" t="s">
        <v>293</v>
      </c>
      <c r="E22" s="208"/>
      <c r="F22" s="208"/>
      <c r="G22" s="208"/>
      <c r="H22" s="146"/>
      <c r="I22" s="146"/>
      <c r="J22" s="3" t="s">
        <v>330</v>
      </c>
      <c r="K22" s="3" t="s">
        <v>331</v>
      </c>
      <c r="L22" s="208">
        <f>L30*1.5%</f>
        <v>0.18539999999999998</v>
      </c>
      <c r="M22" s="208">
        <f aca="true" t="shared" si="22" ref="M22:T22">M30*1.5%</f>
        <v>0.18910799999999997</v>
      </c>
      <c r="N22" s="208">
        <f t="shared" si="22"/>
        <v>0.19289015999999998</v>
      </c>
      <c r="O22" s="208">
        <f t="shared" si="22"/>
        <v>0.1967479632</v>
      </c>
      <c r="P22" s="208">
        <f t="shared" si="22"/>
        <v>0.200682922464</v>
      </c>
      <c r="Q22" s="208">
        <f t="shared" si="22"/>
        <v>0.20469658091327997</v>
      </c>
      <c r="R22" s="208">
        <f t="shared" si="22"/>
        <v>0.2087905125315456</v>
      </c>
      <c r="S22" s="208">
        <f t="shared" si="22"/>
        <v>0.2129663227821765</v>
      </c>
      <c r="T22" s="208">
        <f t="shared" si="22"/>
        <v>0.21722564923782003</v>
      </c>
      <c r="U22" s="151"/>
      <c r="V22" s="146"/>
      <c r="W22" s="152"/>
      <c r="X22" s="211" t="s">
        <v>322</v>
      </c>
      <c r="Y22" s="231">
        <f aca="true" t="shared" si="23" ref="Y22:AD22">+Y7/L30</f>
        <v>0.1291574839879554</v>
      </c>
      <c r="Z22" s="231">
        <f t="shared" si="23"/>
        <v>0.12967150353821671</v>
      </c>
      <c r="AA22" s="231">
        <f t="shared" si="23"/>
        <v>0.130115740595409</v>
      </c>
      <c r="AB22" s="231">
        <f t="shared" si="23"/>
        <v>0.1303678604151436</v>
      </c>
      <c r="AC22" s="231">
        <f t="shared" si="23"/>
        <v>0.13057495594650498</v>
      </c>
      <c r="AD22" s="231">
        <f t="shared" si="23"/>
        <v>0.13073930174023074</v>
      </c>
      <c r="AE22" s="231">
        <f>+AE7/R30</f>
        <v>0.1308629922695152</v>
      </c>
      <c r="AF22" s="231">
        <f>+AF7/S30</f>
        <v>0.13094795358295105</v>
      </c>
      <c r="AG22" s="231">
        <f>+AG7/T30</f>
        <v>0.13099595413701476</v>
      </c>
      <c r="AH22" s="175"/>
      <c r="AI22" s="146"/>
      <c r="AJ22" s="3">
        <f>+AJ18+1</f>
        <v>5</v>
      </c>
      <c r="AK22" s="207" t="s">
        <v>314</v>
      </c>
      <c r="AL22" s="3"/>
      <c r="AM22" s="3"/>
      <c r="AN22" s="3"/>
      <c r="AO22" s="3"/>
      <c r="AP22" s="146"/>
      <c r="AQ22" s="152"/>
      <c r="AR22" s="159"/>
      <c r="AS22" s="159"/>
      <c r="AT22" s="152"/>
      <c r="AU22" s="152"/>
      <c r="AV22" s="153"/>
      <c r="AW22" s="146"/>
      <c r="AX22" s="146"/>
      <c r="AY22" s="3"/>
      <c r="AZ22" s="3"/>
      <c r="BA22" s="214">
        <f aca="true" t="shared" si="24" ref="BA22:BF22">+BA14+BA19+BA21</f>
        <v>8.572654421480193</v>
      </c>
      <c r="BB22" s="214">
        <f t="shared" si="24"/>
        <v>9.509104600887197</v>
      </c>
      <c r="BC22" s="214">
        <f t="shared" si="24"/>
        <v>11.23153070861527</v>
      </c>
      <c r="BD22" s="214">
        <f t="shared" si="24"/>
        <v>12.991110138689752</v>
      </c>
      <c r="BE22" s="214">
        <f t="shared" si="24"/>
        <v>24.78865185979658</v>
      </c>
      <c r="BF22" s="214">
        <f t="shared" si="24"/>
        <v>26.624387150129753</v>
      </c>
      <c r="BG22" s="214">
        <f>+BG14+BG19+BG21</f>
        <v>18.498558840203227</v>
      </c>
      <c r="BH22" s="214">
        <f>+BH14+BH19+BH21</f>
        <v>20.41142022397825</v>
      </c>
      <c r="BI22" s="214">
        <f>+BI14+BI19+BI21</f>
        <v>22.363233965530128</v>
      </c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</row>
    <row r="23" spans="1:101" ht="15.75" thickTop="1">
      <c r="A23" s="146"/>
      <c r="B23" s="1"/>
      <c r="C23" s="3"/>
      <c r="D23" s="3"/>
      <c r="E23" s="216" t="s">
        <v>0</v>
      </c>
      <c r="F23" s="208" t="s">
        <v>0</v>
      </c>
      <c r="G23" s="208"/>
      <c r="H23" s="146"/>
      <c r="I23" s="177">
        <v>0.06</v>
      </c>
      <c r="J23" s="152"/>
      <c r="K23" s="152"/>
      <c r="L23" s="153"/>
      <c r="M23" s="153"/>
      <c r="N23" s="153"/>
      <c r="O23" s="153"/>
      <c r="P23" s="153"/>
      <c r="Q23" s="153"/>
      <c r="R23" s="153"/>
      <c r="S23" s="153"/>
      <c r="T23" s="153"/>
      <c r="U23" s="151"/>
      <c r="V23" s="146"/>
      <c r="W23" s="152"/>
      <c r="X23" s="152"/>
      <c r="Y23" s="153"/>
      <c r="Z23" s="153"/>
      <c r="AA23" s="153"/>
      <c r="AB23" s="153"/>
      <c r="AC23" s="153"/>
      <c r="AD23" s="153"/>
      <c r="AE23" s="153"/>
      <c r="AF23" s="153"/>
      <c r="AG23" s="153"/>
      <c r="AH23" s="151"/>
      <c r="AI23" s="146"/>
      <c r="AJ23" s="3"/>
      <c r="AK23" s="3" t="str">
        <f>+AK19</f>
        <v>Product A</v>
      </c>
      <c r="AL23" s="3" t="str">
        <f>+AL19</f>
        <v>Ton</v>
      </c>
      <c r="AM23" s="208">
        <f>AM9*AM27</f>
        <v>0</v>
      </c>
      <c r="AN23" s="208">
        <f>AN9*AN27</f>
        <v>0</v>
      </c>
      <c r="AO23" s="208">
        <f>AO9*AO27</f>
        <v>0</v>
      </c>
      <c r="AP23" s="146"/>
      <c r="AQ23" s="152"/>
      <c r="AR23" s="159"/>
      <c r="AS23" s="159" t="s">
        <v>340</v>
      </c>
      <c r="AT23" s="152">
        <v>2</v>
      </c>
      <c r="AU23" s="152">
        <v>35000</v>
      </c>
      <c r="AV23" s="153">
        <f>+AU23*AT23/10000000*12</f>
        <v>0.084</v>
      </c>
      <c r="AW23" s="146"/>
      <c r="AX23" s="146"/>
      <c r="AY23" s="3"/>
      <c r="AZ23" s="3"/>
      <c r="BA23" s="208"/>
      <c r="BB23" s="208"/>
      <c r="BC23" s="208"/>
      <c r="BD23" s="208"/>
      <c r="BE23" s="208"/>
      <c r="BF23" s="208"/>
      <c r="BG23" s="208"/>
      <c r="BH23" s="208"/>
      <c r="BI23" s="208"/>
      <c r="BJ23" s="146"/>
      <c r="BK23" s="146">
        <f>22713915+11133987+9223119</f>
        <v>43071021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</row>
    <row r="24" spans="1:101" ht="15">
      <c r="A24" s="146"/>
      <c r="B24" s="1"/>
      <c r="C24" s="3"/>
      <c r="D24" s="3" t="s">
        <v>369</v>
      </c>
      <c r="E24" s="208">
        <f>2000*$AM$24/10000000</f>
        <v>0.24</v>
      </c>
      <c r="F24" s="208">
        <f>E24*102%</f>
        <v>0.2448</v>
      </c>
      <c r="G24" s="208">
        <f>F24*102%</f>
        <v>0.249696</v>
      </c>
      <c r="H24" s="146"/>
      <c r="I24" s="146"/>
      <c r="J24" s="3" t="s">
        <v>345</v>
      </c>
      <c r="K24" s="211" t="s">
        <v>346</v>
      </c>
      <c r="L24" s="217">
        <f aca="true" t="shared" si="25" ref="L24:Q24">+L11+L19+L22</f>
        <v>9.879030077556253</v>
      </c>
      <c r="M24" s="217">
        <f t="shared" si="25"/>
        <v>10.08368247755625</v>
      </c>
      <c r="N24" s="217">
        <f t="shared" si="25"/>
        <v>10.292876495944032</v>
      </c>
      <c r="O24" s="217">
        <f t="shared" si="25"/>
        <v>10.504101436862912</v>
      </c>
      <c r="P24" s="217">
        <f t="shared" si="25"/>
        <v>10.719819247150173</v>
      </c>
      <c r="Q24" s="217">
        <f t="shared" si="25"/>
        <v>10.940133202720677</v>
      </c>
      <c r="R24" s="217">
        <f>+R11+R19+R22</f>
        <v>11.165149315933965</v>
      </c>
      <c r="S24" s="217">
        <f>+S11+S19+S22</f>
        <v>11.394976423869464</v>
      </c>
      <c r="T24" s="217">
        <f>+T11+T19+T22</f>
        <v>11.629726280044515</v>
      </c>
      <c r="U24" s="151"/>
      <c r="V24" s="146"/>
      <c r="W24" s="152"/>
      <c r="X24" s="3" t="s">
        <v>339</v>
      </c>
      <c r="Y24" s="208">
        <f aca="true" t="shared" si="26" ref="Y24:AG24">Y7/BA11*10</f>
        <v>8.080736074475054</v>
      </c>
      <c r="Z24" s="208">
        <f t="shared" si="26"/>
        <v>8.275153614031472</v>
      </c>
      <c r="AA24" s="208">
        <f t="shared" si="26"/>
        <v>8.469573236092003</v>
      </c>
      <c r="AB24" s="208">
        <f t="shared" si="26"/>
        <v>8.655704060810535</v>
      </c>
      <c r="AC24" s="208">
        <f t="shared" si="26"/>
        <v>8.842843138514327</v>
      </c>
      <c r="AD24" s="208">
        <f t="shared" si="26"/>
        <v>9.031052482663103</v>
      </c>
      <c r="AE24" s="208">
        <f t="shared" si="26"/>
        <v>9.220388561076971</v>
      </c>
      <c r="AF24" s="208">
        <f t="shared" si="26"/>
        <v>9.410902289644675</v>
      </c>
      <c r="AG24" s="208">
        <f t="shared" si="26"/>
        <v>9.602639008941185</v>
      </c>
      <c r="AH24" s="151"/>
      <c r="AI24" s="146"/>
      <c r="AJ24" s="3"/>
      <c r="AK24" s="3" t="str">
        <f>+AK20</f>
        <v>Product B</v>
      </c>
      <c r="AL24" s="3"/>
      <c r="AM24" s="208">
        <f>AM10*AM27</f>
        <v>1200</v>
      </c>
      <c r="AN24" s="208">
        <f>AN10*AN27</f>
        <v>1200</v>
      </c>
      <c r="AO24" s="208">
        <f>AO10*AO27</f>
        <v>1200</v>
      </c>
      <c r="AP24" s="146"/>
      <c r="AQ24" s="152"/>
      <c r="AR24" s="159"/>
      <c r="AS24" s="159" t="s">
        <v>347</v>
      </c>
      <c r="AT24" s="152">
        <v>8</v>
      </c>
      <c r="AU24" s="152">
        <v>15000</v>
      </c>
      <c r="AV24" s="153">
        <f>+AU24*AT24/10000000*12</f>
        <v>0.14400000000000002</v>
      </c>
      <c r="AW24" s="146"/>
      <c r="AX24" s="146"/>
      <c r="AY24" s="351" t="s">
        <v>121</v>
      </c>
      <c r="AZ24" s="223" t="s">
        <v>341</v>
      </c>
      <c r="BA24" s="208"/>
      <c r="BB24" s="208"/>
      <c r="BC24" s="208"/>
      <c r="BD24" s="208"/>
      <c r="BE24" s="208"/>
      <c r="BF24" s="208"/>
      <c r="BG24" s="208"/>
      <c r="BH24" s="208"/>
      <c r="BI24" s="208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</row>
    <row r="25" spans="1:101" ht="15">
      <c r="A25" s="146"/>
      <c r="B25" s="1"/>
      <c r="C25" s="3"/>
      <c r="D25" s="3"/>
      <c r="E25" s="208"/>
      <c r="F25" s="208"/>
      <c r="G25" s="208"/>
      <c r="H25" s="146"/>
      <c r="I25" s="146"/>
      <c r="J25" s="152"/>
      <c r="K25" s="226" t="s">
        <v>353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1"/>
      <c r="V25" s="146"/>
      <c r="W25" s="152"/>
      <c r="X25" s="152"/>
      <c r="Y25" s="153"/>
      <c r="Z25" s="153"/>
      <c r="AA25" s="153"/>
      <c r="AB25" s="153"/>
      <c r="AC25" s="153"/>
      <c r="AD25" s="153"/>
      <c r="AE25" s="153"/>
      <c r="AF25" s="153"/>
      <c r="AG25" s="153"/>
      <c r="AH25" s="151"/>
      <c r="AI25" s="146"/>
      <c r="AJ25" s="3"/>
      <c r="AK25" s="3"/>
      <c r="AL25" s="3"/>
      <c r="AM25" s="208"/>
      <c r="AN25" s="208"/>
      <c r="AO25" s="208"/>
      <c r="AP25" s="146"/>
      <c r="AQ25" s="152"/>
      <c r="AR25" s="159"/>
      <c r="AS25" s="159"/>
      <c r="AT25" s="152"/>
      <c r="AU25" s="152"/>
      <c r="AV25" s="153"/>
      <c r="AW25" s="146"/>
      <c r="AX25" s="146"/>
      <c r="AY25" s="3"/>
      <c r="AZ25" s="3"/>
      <c r="BA25" s="208"/>
      <c r="BB25" s="208"/>
      <c r="BC25" s="208"/>
      <c r="BD25" s="208"/>
      <c r="BE25" s="208"/>
      <c r="BF25" s="208"/>
      <c r="BG25" s="208"/>
      <c r="BH25" s="208"/>
      <c r="BI25" s="208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</row>
    <row r="26" spans="1:101" ht="15">
      <c r="A26" s="146"/>
      <c r="B26" s="1"/>
      <c r="C26" s="3"/>
      <c r="D26" s="218" t="s">
        <v>385</v>
      </c>
      <c r="E26" s="217">
        <f>SUM(E21:E25)</f>
        <v>0.24</v>
      </c>
      <c r="F26" s="217">
        <f>SUM(F21:F25)</f>
        <v>0.2448</v>
      </c>
      <c r="G26" s="217">
        <f>SUM(G21:G25)</f>
        <v>0.249696</v>
      </c>
      <c r="H26" s="146"/>
      <c r="I26" s="146"/>
      <c r="J26" s="152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1"/>
      <c r="V26" s="146"/>
      <c r="W26" s="152"/>
      <c r="X26" s="211" t="s">
        <v>354</v>
      </c>
      <c r="Y26" s="208">
        <f aca="true" t="shared" si="27" ref="Y26:AG26">Y18/BA11*10</f>
        <v>8.894255479415227</v>
      </c>
      <c r="Z26" s="208">
        <f t="shared" si="27"/>
        <v>9.047997048724636</v>
      </c>
      <c r="AA26" s="208">
        <f t="shared" si="27"/>
        <v>9.20377449905051</v>
      </c>
      <c r="AB26" s="208">
        <f t="shared" si="27"/>
        <v>9.353195260621117</v>
      </c>
      <c r="AC26" s="208">
        <f t="shared" si="27"/>
        <v>9.50545977833438</v>
      </c>
      <c r="AD26" s="208">
        <f t="shared" si="27"/>
        <v>9.660538290492152</v>
      </c>
      <c r="AE26" s="208">
        <f t="shared" si="27"/>
        <v>9.818400078514568</v>
      </c>
      <c r="AF26" s="208">
        <f t="shared" si="27"/>
        <v>9.97901323121039</v>
      </c>
      <c r="AG26" s="208">
        <f t="shared" si="27"/>
        <v>10.142344403428616</v>
      </c>
      <c r="AH26" s="151"/>
      <c r="AI26" s="146"/>
      <c r="AJ26" s="3"/>
      <c r="AK26" s="3"/>
      <c r="AL26" s="3"/>
      <c r="AM26" s="3"/>
      <c r="AN26" s="3"/>
      <c r="AO26" s="3"/>
      <c r="AP26" s="146"/>
      <c r="AQ26" s="152"/>
      <c r="AR26" s="159"/>
      <c r="AS26" s="159"/>
      <c r="AT26" s="152"/>
      <c r="AU26" s="152"/>
      <c r="AV26" s="150">
        <f>SUM(AV23:AV25)</f>
        <v>0.22800000000000004</v>
      </c>
      <c r="AW26" s="146"/>
      <c r="AX26" s="146"/>
      <c r="AY26" s="3">
        <v>1</v>
      </c>
      <c r="AZ26" s="3" t="s">
        <v>356</v>
      </c>
      <c r="BA26" s="208">
        <v>3.3645697</v>
      </c>
      <c r="BB26" s="208">
        <f>+BA26</f>
        <v>3.3645697</v>
      </c>
      <c r="BC26" s="208">
        <f>+BB26+BB30</f>
        <v>4.4779684</v>
      </c>
      <c r="BD26" s="208">
        <f aca="true" t="shared" si="28" ref="BD26:BI26">+BC26</f>
        <v>4.4779684</v>
      </c>
      <c r="BE26" s="208">
        <f t="shared" si="28"/>
        <v>4.4779684</v>
      </c>
      <c r="BF26" s="208">
        <f t="shared" si="28"/>
        <v>4.4779684</v>
      </c>
      <c r="BG26" s="208">
        <f t="shared" si="28"/>
        <v>4.4779684</v>
      </c>
      <c r="BH26" s="208">
        <f t="shared" si="28"/>
        <v>4.4779684</v>
      </c>
      <c r="BI26" s="208">
        <f t="shared" si="28"/>
        <v>4.4779684</v>
      </c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</row>
    <row r="27" spans="1:101" ht="15">
      <c r="A27" s="146"/>
      <c r="B27" s="1"/>
      <c r="C27" s="3"/>
      <c r="D27" s="3"/>
      <c r="E27" s="208"/>
      <c r="F27" s="208"/>
      <c r="G27" s="208"/>
      <c r="H27" s="146"/>
      <c r="I27" s="146"/>
      <c r="J27" s="3" t="s">
        <v>370</v>
      </c>
      <c r="K27" s="3" t="s">
        <v>371</v>
      </c>
      <c r="L27" s="208"/>
      <c r="M27" s="208"/>
      <c r="N27" s="208"/>
      <c r="O27" s="208"/>
      <c r="P27" s="208"/>
      <c r="Q27" s="208"/>
      <c r="R27" s="208"/>
      <c r="S27" s="208"/>
      <c r="T27" s="208"/>
      <c r="U27" s="151"/>
      <c r="V27" s="146"/>
      <c r="W27" s="152"/>
      <c r="X27" s="152"/>
      <c r="Y27" s="153"/>
      <c r="Z27" s="153"/>
      <c r="AA27" s="153"/>
      <c r="AB27" s="153"/>
      <c r="AC27" s="153"/>
      <c r="AD27" s="153"/>
      <c r="AE27" s="153"/>
      <c r="AF27" s="153"/>
      <c r="AG27" s="153"/>
      <c r="AH27" s="151"/>
      <c r="AI27" s="146"/>
      <c r="AJ27" s="3">
        <f>+AJ22+1</f>
        <v>6</v>
      </c>
      <c r="AK27" s="3" t="s">
        <v>373</v>
      </c>
      <c r="AL27" s="3"/>
      <c r="AM27" s="209">
        <v>1</v>
      </c>
      <c r="AN27" s="209">
        <v>1</v>
      </c>
      <c r="AO27" s="209">
        <v>1</v>
      </c>
      <c r="AP27" s="146"/>
      <c r="AQ27" s="152"/>
      <c r="AR27" s="159"/>
      <c r="AS27" s="159" t="s">
        <v>531</v>
      </c>
      <c r="AT27" s="152"/>
      <c r="AU27" s="152"/>
      <c r="AV27" s="153">
        <f>ROUND(AV26*0.1,2)</f>
        <v>0.02</v>
      </c>
      <c r="AW27" s="146"/>
      <c r="AX27" s="146"/>
      <c r="AY27" s="3"/>
      <c r="AZ27" s="3" t="s">
        <v>251</v>
      </c>
      <c r="BA27" s="208">
        <f>1.0931782+L38</f>
        <v>1.2538926925</v>
      </c>
      <c r="BB27" s="208">
        <f aca="true" t="shared" si="29" ref="BB27:BI27">BA27+M38</f>
        <v>1.406571460375</v>
      </c>
      <c r="BC27" s="208">
        <f t="shared" si="29"/>
        <v>1.5516162898562498</v>
      </c>
      <c r="BD27" s="208">
        <f t="shared" si="29"/>
        <v>1.6894088778634373</v>
      </c>
      <c r="BE27" s="208">
        <f t="shared" si="29"/>
        <v>1.8203118364702653</v>
      </c>
      <c r="BF27" s="208">
        <f t="shared" si="29"/>
        <v>1.944669647146752</v>
      </c>
      <c r="BG27" s="208">
        <f t="shared" si="29"/>
        <v>2.0628095672894142</v>
      </c>
      <c r="BH27" s="208">
        <f t="shared" si="29"/>
        <v>2.1750424914249433</v>
      </c>
      <c r="BI27" s="208">
        <f t="shared" si="29"/>
        <v>2.281663769353696</v>
      </c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</row>
    <row r="28" spans="1:101" ht="15">
      <c r="A28" s="146"/>
      <c r="B28" s="346">
        <v>0.02</v>
      </c>
      <c r="C28" s="3">
        <f>+C22+1</f>
        <v>3</v>
      </c>
      <c r="D28" s="3" t="s">
        <v>395</v>
      </c>
      <c r="E28" s="208"/>
      <c r="F28" s="208"/>
      <c r="G28" s="208"/>
      <c r="H28" s="146"/>
      <c r="I28" s="146"/>
      <c r="J28" s="3"/>
      <c r="K28" s="3" t="s">
        <v>549</v>
      </c>
      <c r="L28" s="208">
        <f>+AM38</f>
        <v>12.36</v>
      </c>
      <c r="M28" s="208">
        <f>L28*102%</f>
        <v>12.607199999999999</v>
      </c>
      <c r="N28" s="208">
        <f>M28*102%</f>
        <v>12.859343999999998</v>
      </c>
      <c r="O28" s="208">
        <f aca="true" t="shared" si="30" ref="O28:T28">N28*102%</f>
        <v>13.11653088</v>
      </c>
      <c r="P28" s="208">
        <f t="shared" si="30"/>
        <v>13.378861497599999</v>
      </c>
      <c r="Q28" s="208">
        <f t="shared" si="30"/>
        <v>13.646438727551999</v>
      </c>
      <c r="R28" s="208">
        <f t="shared" si="30"/>
        <v>13.91936750210304</v>
      </c>
      <c r="S28" s="208">
        <f t="shared" si="30"/>
        <v>14.197754852145101</v>
      </c>
      <c r="T28" s="208">
        <f t="shared" si="30"/>
        <v>14.481709949188003</v>
      </c>
      <c r="U28" s="151"/>
      <c r="V28" s="146"/>
      <c r="W28" s="152"/>
      <c r="X28" s="152" t="s">
        <v>372</v>
      </c>
      <c r="Y28" s="153">
        <f>+L32/(L34+L36)</f>
        <v>248.09699224437463</v>
      </c>
      <c r="Z28" s="153">
        <f aca="true" t="shared" si="31" ref="Z28:AG28">+M32/(M34+M36)</f>
        <v>504.70350448874973</v>
      </c>
      <c r="AA28" s="153" t="e">
        <f t="shared" si="31"/>
        <v>#DIV/0!</v>
      </c>
      <c r="AB28" s="153" t="e">
        <f t="shared" si="31"/>
        <v>#DIV/0!</v>
      </c>
      <c r="AC28" s="153" t="e">
        <f t="shared" si="31"/>
        <v>#DIV/0!</v>
      </c>
      <c r="AD28" s="153" t="e">
        <f t="shared" si="31"/>
        <v>#DIV/0!</v>
      </c>
      <c r="AE28" s="153" t="e">
        <f t="shared" si="31"/>
        <v>#DIV/0!</v>
      </c>
      <c r="AF28" s="153" t="e">
        <f t="shared" si="31"/>
        <v>#DIV/0!</v>
      </c>
      <c r="AG28" s="153" t="e">
        <f t="shared" si="31"/>
        <v>#DIV/0!</v>
      </c>
      <c r="AH28" s="151"/>
      <c r="AI28" s="146"/>
      <c r="AJ28" s="3"/>
      <c r="AK28" s="3"/>
      <c r="AL28" s="3"/>
      <c r="AM28" s="209"/>
      <c r="AN28" s="209"/>
      <c r="AO28" s="209"/>
      <c r="AP28" s="146"/>
      <c r="AQ28" s="152"/>
      <c r="AR28" s="159"/>
      <c r="AS28" s="159"/>
      <c r="AT28" s="152"/>
      <c r="AU28" s="152"/>
      <c r="AV28" s="174">
        <f>+AV26+AV27</f>
        <v>0.24800000000000003</v>
      </c>
      <c r="AW28" s="146"/>
      <c r="AX28" s="146"/>
      <c r="AY28" s="3"/>
      <c r="AZ28" s="218" t="s">
        <v>374</v>
      </c>
      <c r="BA28" s="217">
        <f aca="true" t="shared" si="32" ref="BA28:BF28">+BA26-BA27</f>
        <v>2.1106770075</v>
      </c>
      <c r="BB28" s="217">
        <f t="shared" si="32"/>
        <v>1.9579982396250002</v>
      </c>
      <c r="BC28" s="217">
        <f t="shared" si="32"/>
        <v>2.92635211014375</v>
      </c>
      <c r="BD28" s="217">
        <f t="shared" si="32"/>
        <v>2.7885595221365627</v>
      </c>
      <c r="BE28" s="217">
        <f t="shared" si="32"/>
        <v>2.6576565635297347</v>
      </c>
      <c r="BF28" s="217">
        <f t="shared" si="32"/>
        <v>2.533298752853248</v>
      </c>
      <c r="BG28" s="217">
        <f>+BG26-BG27</f>
        <v>2.4151588327105857</v>
      </c>
      <c r="BH28" s="217">
        <f>+BH26-BH27</f>
        <v>2.3029259085750566</v>
      </c>
      <c r="BI28" s="217">
        <f>+BI26-BI27</f>
        <v>2.196304630646304</v>
      </c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</row>
    <row r="29" spans="1:101" ht="15">
      <c r="A29" s="146"/>
      <c r="B29" s="1"/>
      <c r="C29" s="3"/>
      <c r="D29" s="3"/>
      <c r="E29" s="208"/>
      <c r="F29" s="208"/>
      <c r="G29" s="208"/>
      <c r="H29" s="146"/>
      <c r="I29" s="146"/>
      <c r="J29" s="3"/>
      <c r="K29" s="3"/>
      <c r="L29" s="208"/>
      <c r="M29" s="208"/>
      <c r="N29" s="208"/>
      <c r="O29" s="208"/>
      <c r="P29" s="208"/>
      <c r="Q29" s="208"/>
      <c r="R29" s="208"/>
      <c r="S29" s="208"/>
      <c r="T29" s="208"/>
      <c r="U29" s="151"/>
      <c r="V29" s="146"/>
      <c r="W29" s="161"/>
      <c r="X29" s="161"/>
      <c r="Y29" s="178"/>
      <c r="Z29" s="178"/>
      <c r="AA29" s="178"/>
      <c r="AB29" s="178"/>
      <c r="AC29" s="178"/>
      <c r="AD29" s="178"/>
      <c r="AE29" s="178"/>
      <c r="AF29" s="178"/>
      <c r="AG29" s="178"/>
      <c r="AH29" s="151"/>
      <c r="AI29" s="146"/>
      <c r="AJ29" s="3"/>
      <c r="AK29" s="3"/>
      <c r="AL29" s="3"/>
      <c r="AM29" s="209"/>
      <c r="AN29" s="209"/>
      <c r="AO29" s="209"/>
      <c r="AP29" s="146"/>
      <c r="AQ29" s="152"/>
      <c r="AR29" s="159"/>
      <c r="AS29" s="159"/>
      <c r="AT29" s="152"/>
      <c r="AU29" s="152"/>
      <c r="AV29" s="153"/>
      <c r="AW29" s="146"/>
      <c r="AX29" s="146"/>
      <c r="AY29" s="3"/>
      <c r="AZ29" s="3"/>
      <c r="BA29" s="208"/>
      <c r="BB29" s="208"/>
      <c r="BC29" s="208"/>
      <c r="BD29" s="208"/>
      <c r="BE29" s="208"/>
      <c r="BF29" s="208"/>
      <c r="BG29" s="208"/>
      <c r="BH29" s="208"/>
      <c r="BI29" s="208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</row>
    <row r="30" spans="1:101" ht="15">
      <c r="A30" s="146"/>
      <c r="B30" s="1"/>
      <c r="C30" s="3"/>
      <c r="D30" s="3" t="s">
        <v>239</v>
      </c>
      <c r="E30" s="208">
        <f>$AM$24*700/10000000</f>
        <v>0.084</v>
      </c>
      <c r="F30" s="208">
        <f>E30*105%</f>
        <v>0.08820000000000001</v>
      </c>
      <c r="G30" s="208">
        <f>F30*105%</f>
        <v>0.09261000000000003</v>
      </c>
      <c r="H30" s="146"/>
      <c r="I30" s="146"/>
      <c r="J30" s="3"/>
      <c r="K30" s="3" t="s">
        <v>604</v>
      </c>
      <c r="L30" s="217">
        <f aca="true" t="shared" si="33" ref="L30:Q30">SUM(L26:L29)</f>
        <v>12.36</v>
      </c>
      <c r="M30" s="217">
        <f t="shared" si="33"/>
        <v>12.607199999999999</v>
      </c>
      <c r="N30" s="217">
        <f t="shared" si="33"/>
        <v>12.859343999999998</v>
      </c>
      <c r="O30" s="217">
        <f t="shared" si="33"/>
        <v>13.11653088</v>
      </c>
      <c r="P30" s="217">
        <f t="shared" si="33"/>
        <v>13.378861497599999</v>
      </c>
      <c r="Q30" s="217">
        <f t="shared" si="33"/>
        <v>13.646438727551999</v>
      </c>
      <c r="R30" s="217">
        <f>SUM(R26:R29)</f>
        <v>13.91936750210304</v>
      </c>
      <c r="S30" s="217">
        <f>SUM(S26:S29)</f>
        <v>14.197754852145101</v>
      </c>
      <c r="T30" s="217">
        <f>SUM(T26:T29)</f>
        <v>14.481709949188003</v>
      </c>
      <c r="U30" s="151"/>
      <c r="V30" s="146"/>
      <c r="W30" s="146"/>
      <c r="X30" s="146"/>
      <c r="Y30" s="15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/>
      <c r="AK30" s="3"/>
      <c r="AL30" s="3"/>
      <c r="AM30" s="3"/>
      <c r="AN30" s="3"/>
      <c r="AO30" s="3"/>
      <c r="AP30" s="146"/>
      <c r="AQ30" s="152">
        <v>2</v>
      </c>
      <c r="AR30" s="179" t="s">
        <v>391</v>
      </c>
      <c r="AS30" s="159"/>
      <c r="AT30" s="152"/>
      <c r="AU30" s="152"/>
      <c r="AV30" s="153"/>
      <c r="AW30" s="146"/>
      <c r="AX30" s="146"/>
      <c r="AY30" s="3">
        <f>+AY26+1</f>
        <v>2</v>
      </c>
      <c r="AZ30" s="3" t="s">
        <v>602</v>
      </c>
      <c r="BA30" s="208">
        <v>1.1133987</v>
      </c>
      <c r="BB30" s="208">
        <f aca="true" t="shared" si="34" ref="BB30:BI30">+BA30</f>
        <v>1.1133987</v>
      </c>
      <c r="BC30" s="208">
        <f t="shared" si="34"/>
        <v>1.1133987</v>
      </c>
      <c r="BD30" s="208">
        <f t="shared" si="34"/>
        <v>1.1133987</v>
      </c>
      <c r="BE30" s="208">
        <f t="shared" si="34"/>
        <v>1.1133987</v>
      </c>
      <c r="BF30" s="208">
        <f t="shared" si="34"/>
        <v>1.1133987</v>
      </c>
      <c r="BG30" s="208">
        <f t="shared" si="34"/>
        <v>1.1133987</v>
      </c>
      <c r="BH30" s="208">
        <f t="shared" si="34"/>
        <v>1.1133987</v>
      </c>
      <c r="BI30" s="208">
        <f t="shared" si="34"/>
        <v>1.1133987</v>
      </c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</row>
    <row r="31" spans="1:101" ht="15">
      <c r="A31" s="146"/>
      <c r="B31" s="1"/>
      <c r="C31" s="3"/>
      <c r="D31" s="3" t="s">
        <v>414</v>
      </c>
      <c r="E31" s="208">
        <v>0</v>
      </c>
      <c r="F31" s="208">
        <f>E31*105%</f>
        <v>0</v>
      </c>
      <c r="G31" s="208">
        <f>F31*105%</f>
        <v>0</v>
      </c>
      <c r="H31" s="146"/>
      <c r="I31" s="146"/>
      <c r="J31" s="3" t="s">
        <v>396</v>
      </c>
      <c r="K31" s="3" t="s">
        <v>397</v>
      </c>
      <c r="L31" s="2"/>
      <c r="M31" s="208"/>
      <c r="N31" s="208"/>
      <c r="O31" s="208"/>
      <c r="P31" s="208"/>
      <c r="Q31" s="208"/>
      <c r="R31" s="208"/>
      <c r="S31" s="208"/>
      <c r="T31" s="208"/>
      <c r="U31" s="151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>+AJ27+1</f>
        <v>7</v>
      </c>
      <c r="AK31" s="199" t="s">
        <v>600</v>
      </c>
      <c r="AL31" s="210" t="s">
        <v>510</v>
      </c>
      <c r="AM31" s="3"/>
      <c r="AN31" s="3"/>
      <c r="AO31" s="3"/>
      <c r="AP31" s="146"/>
      <c r="AQ31" s="152"/>
      <c r="AR31" s="159"/>
      <c r="AS31" s="159"/>
      <c r="AT31" s="152"/>
      <c r="AU31" s="152"/>
      <c r="AV31" s="153"/>
      <c r="AW31" s="146"/>
      <c r="AX31" s="146"/>
      <c r="AY31" s="3"/>
      <c r="AZ31" s="3"/>
      <c r="BA31" s="208"/>
      <c r="BB31" s="208"/>
      <c r="BC31" s="208"/>
      <c r="BD31" s="208"/>
      <c r="BE31" s="208"/>
      <c r="BF31" s="208"/>
      <c r="BG31" s="208"/>
      <c r="BH31" s="208"/>
      <c r="BI31" s="208"/>
      <c r="BJ31" s="146"/>
      <c r="BK31" s="146"/>
      <c r="BL31" s="146"/>
      <c r="BM31" s="146"/>
      <c r="BN31" s="146"/>
      <c r="BO31" s="146"/>
      <c r="BP31" s="156">
        <f>103*1000/10000000</f>
        <v>0.0103</v>
      </c>
      <c r="BQ31" s="156"/>
      <c r="BR31" s="15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</row>
    <row r="32" spans="1:101" ht="15">
      <c r="A32" s="146">
        <f>+E33/10800*100000</f>
        <v>0.7777777777777778</v>
      </c>
      <c r="B32" s="1"/>
      <c r="C32" s="3"/>
      <c r="D32" s="3"/>
      <c r="E32" s="208"/>
      <c r="F32" s="208"/>
      <c r="G32" s="208"/>
      <c r="H32" s="146"/>
      <c r="I32" s="146"/>
      <c r="J32" s="3"/>
      <c r="K32" s="211" t="s">
        <v>400</v>
      </c>
      <c r="L32" s="208">
        <f aca="true" t="shared" si="35" ref="L32:Q32">+L30-L24</f>
        <v>2.4809699224437463</v>
      </c>
      <c r="M32" s="208">
        <f t="shared" si="35"/>
        <v>2.5235175224437487</v>
      </c>
      <c r="N32" s="208">
        <f t="shared" si="35"/>
        <v>2.566467504055966</v>
      </c>
      <c r="O32" s="208">
        <f t="shared" si="35"/>
        <v>2.6124294431370867</v>
      </c>
      <c r="P32" s="208">
        <f t="shared" si="35"/>
        <v>2.6590422504498257</v>
      </c>
      <c r="Q32" s="208">
        <f t="shared" si="35"/>
        <v>2.706305524831322</v>
      </c>
      <c r="R32" s="208">
        <f>+R30-R24</f>
        <v>2.7542181861690747</v>
      </c>
      <c r="S32" s="208">
        <f>+S30-S24</f>
        <v>2.802778428275637</v>
      </c>
      <c r="T32" s="208">
        <f>+T30-T24</f>
        <v>2.851983669143488</v>
      </c>
      <c r="U32" s="151"/>
      <c r="V32" s="146"/>
      <c r="W32" s="146"/>
      <c r="X32" s="146"/>
      <c r="Y32" s="146"/>
      <c r="Z32" s="146"/>
      <c r="AA32" s="146"/>
      <c r="AB32" s="146"/>
      <c r="AC32" s="180"/>
      <c r="AD32" s="146"/>
      <c r="AE32" s="146"/>
      <c r="AF32" s="146"/>
      <c r="AG32" s="146"/>
      <c r="AH32" s="146"/>
      <c r="AI32" s="146"/>
      <c r="AJ32" s="3"/>
      <c r="AK32" s="3" t="str">
        <f>+AK23</f>
        <v>Product A</v>
      </c>
      <c r="AL32" s="3" t="str">
        <f>+AL23</f>
        <v>Ton</v>
      </c>
      <c r="AM32" s="259">
        <f>103000/10000000</f>
        <v>0.0103</v>
      </c>
      <c r="AN32" s="6">
        <f>+AM32</f>
        <v>0.0103</v>
      </c>
      <c r="AO32" s="6">
        <f>+AN32</f>
        <v>0.0103</v>
      </c>
      <c r="AP32" s="146"/>
      <c r="AQ32" s="152"/>
      <c r="AR32" s="159" t="s">
        <v>402</v>
      </c>
      <c r="AS32" s="159"/>
      <c r="AT32" s="152">
        <v>2</v>
      </c>
      <c r="AU32" s="152">
        <v>30000</v>
      </c>
      <c r="AV32" s="153">
        <f>+AU32*AT32/10000000*12</f>
        <v>0.07200000000000001</v>
      </c>
      <c r="AW32" s="146"/>
      <c r="AX32" s="146"/>
      <c r="AY32" s="3">
        <f>+AY30+1</f>
        <v>3</v>
      </c>
      <c r="AZ32" s="352" t="s">
        <v>399</v>
      </c>
      <c r="BA32" s="208"/>
      <c r="BB32" s="208"/>
      <c r="BC32" s="208"/>
      <c r="BD32" s="208"/>
      <c r="BE32" s="208"/>
      <c r="BF32" s="208"/>
      <c r="BG32" s="208"/>
      <c r="BH32" s="208"/>
      <c r="BI32" s="208"/>
      <c r="BJ32" s="146"/>
      <c r="BK32" s="146"/>
      <c r="BL32" s="146"/>
      <c r="BM32" s="146"/>
      <c r="BN32" s="146"/>
      <c r="BO32" s="146"/>
      <c r="BP32" s="146" t="s">
        <v>608</v>
      </c>
      <c r="BQ32" s="146" t="s">
        <v>608</v>
      </c>
      <c r="BR32" s="146" t="s">
        <v>608</v>
      </c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</row>
    <row r="33" spans="1:101" ht="15">
      <c r="A33" s="146"/>
      <c r="B33" s="1"/>
      <c r="C33" s="3"/>
      <c r="D33" s="218" t="s">
        <v>429</v>
      </c>
      <c r="E33" s="217">
        <f>SUM(E27:E32)</f>
        <v>0.084</v>
      </c>
      <c r="F33" s="217">
        <f>SUM(F27:F32)</f>
        <v>0.08820000000000001</v>
      </c>
      <c r="G33" s="217">
        <f>SUM(G27:G32)</f>
        <v>0.09261000000000003</v>
      </c>
      <c r="H33" s="146"/>
      <c r="I33" s="146"/>
      <c r="J33" s="3"/>
      <c r="K33" s="3"/>
      <c r="L33" s="208"/>
      <c r="M33" s="208"/>
      <c r="N33" s="208"/>
      <c r="O33" s="208"/>
      <c r="P33" s="208"/>
      <c r="Q33" s="208"/>
      <c r="R33" s="208"/>
      <c r="S33" s="208"/>
      <c r="T33" s="208"/>
      <c r="U33" s="151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/>
      <c r="AK33" s="4"/>
      <c r="AL33" s="4"/>
      <c r="AM33" s="2"/>
      <c r="AN33" s="2"/>
      <c r="AO33" s="2"/>
      <c r="AP33" s="146"/>
      <c r="AQ33" s="152"/>
      <c r="AR33" s="159" t="s">
        <v>407</v>
      </c>
      <c r="AS33" s="159"/>
      <c r="AT33" s="152">
        <v>6</v>
      </c>
      <c r="AU33" s="152">
        <v>5000</v>
      </c>
      <c r="AV33" s="153">
        <f>+AU33*AT33/10000000*12</f>
        <v>0.036000000000000004</v>
      </c>
      <c r="AW33" s="146"/>
      <c r="AX33" s="146"/>
      <c r="AY33" s="3"/>
      <c r="AZ33" s="3"/>
      <c r="BA33" s="208"/>
      <c r="BB33" s="208"/>
      <c r="BC33" s="208"/>
      <c r="BD33" s="208"/>
      <c r="BE33" s="208"/>
      <c r="BF33" s="208"/>
      <c r="BG33" s="208"/>
      <c r="BH33" s="208"/>
      <c r="BI33" s="208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</row>
    <row r="34" spans="1:101" ht="15">
      <c r="A34" s="146"/>
      <c r="B34" s="1"/>
      <c r="C34" s="3"/>
      <c r="D34" s="3"/>
      <c r="E34" s="208"/>
      <c r="F34" s="208"/>
      <c r="G34" s="208"/>
      <c r="H34" s="146"/>
      <c r="I34" s="146"/>
      <c r="J34" s="3" t="s">
        <v>415</v>
      </c>
      <c r="K34" s="3" t="s">
        <v>583</v>
      </c>
      <c r="L34" s="208">
        <f>'Existing Term Loan Chart'!G23</f>
        <v>0</v>
      </c>
      <c r="M34" s="208">
        <f>'Existing Term Loan Chart'!H23</f>
        <v>0</v>
      </c>
      <c r="N34" s="208">
        <f>'Existing Term Loan Chart'!I23</f>
        <v>0</v>
      </c>
      <c r="O34" s="208">
        <f>'Existing Term Loan Chart'!J23</f>
        <v>0</v>
      </c>
      <c r="P34" s="208">
        <f>'Existing Term Loan Chart'!K23</f>
        <v>0</v>
      </c>
      <c r="Q34" s="208">
        <f>'Existing Term Loan Chart'!L23</f>
        <v>0</v>
      </c>
      <c r="R34" s="208">
        <f>+BJ17*10%</f>
        <v>0</v>
      </c>
      <c r="S34" s="208">
        <f>+BK17*10%</f>
        <v>0</v>
      </c>
      <c r="T34" s="208">
        <f>+BL17*10%</f>
        <v>0</v>
      </c>
      <c r="U34" s="151"/>
      <c r="V34" s="146"/>
      <c r="W34" s="146"/>
      <c r="X34" s="146"/>
      <c r="Y34" s="180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/>
      <c r="AK34" s="4"/>
      <c r="AL34" s="4"/>
      <c r="AM34" s="2"/>
      <c r="AN34" s="2"/>
      <c r="AO34" s="2"/>
      <c r="AP34" s="146"/>
      <c r="AQ34" s="152"/>
      <c r="AR34" s="159" t="s">
        <v>418</v>
      </c>
      <c r="AS34" s="159"/>
      <c r="AT34" s="152">
        <v>6</v>
      </c>
      <c r="AU34" s="152">
        <v>2500</v>
      </c>
      <c r="AV34" s="153">
        <f>+AU34*AT34/10000000*12</f>
        <v>0.018000000000000002</v>
      </c>
      <c r="AW34" s="146"/>
      <c r="AX34" s="146"/>
      <c r="AY34" s="3"/>
      <c r="AZ34" s="3" t="s">
        <v>409</v>
      </c>
      <c r="BA34" s="208">
        <f aca="true" t="shared" si="36" ref="BA34:BI34">+(L11/360)*1</f>
        <v>0.02647597243765626</v>
      </c>
      <c r="BB34" s="208">
        <f t="shared" si="36"/>
        <v>0.027011612437656252</v>
      </c>
      <c r="BC34" s="208">
        <f t="shared" si="36"/>
        <v>0.027558535099844534</v>
      </c>
      <c r="BD34" s="208">
        <f t="shared" si="36"/>
        <v>0.028109705801841425</v>
      </c>
      <c r="BE34" s="208">
        <f t="shared" si="36"/>
        <v>0.028671899917878257</v>
      </c>
      <c r="BF34" s="208">
        <f t="shared" si="36"/>
        <v>0.029245337916235823</v>
      </c>
      <c r="BG34" s="208">
        <f t="shared" si="36"/>
        <v>0.02983024467456054</v>
      </c>
      <c r="BH34" s="208">
        <f t="shared" si="36"/>
        <v>0.030426849568051754</v>
      </c>
      <c r="BI34" s="208">
        <f t="shared" si="36"/>
        <v>0.031035386559412792</v>
      </c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</row>
    <row r="35" spans="1:101" ht="15">
      <c r="A35" s="146"/>
      <c r="B35" s="1"/>
      <c r="C35" s="3">
        <f>+C28+1</f>
        <v>4</v>
      </c>
      <c r="D35" s="3" t="s">
        <v>329</v>
      </c>
      <c r="E35" s="208"/>
      <c r="F35" s="208"/>
      <c r="G35" s="208"/>
      <c r="H35" s="146"/>
      <c r="I35" s="146"/>
      <c r="J35" s="152"/>
      <c r="K35" s="152"/>
      <c r="L35" s="153"/>
      <c r="M35" s="153"/>
      <c r="N35" s="153"/>
      <c r="O35" s="153"/>
      <c r="P35" s="153"/>
      <c r="Q35" s="153"/>
      <c r="R35" s="153"/>
      <c r="S35" s="153"/>
      <c r="T35" s="153"/>
      <c r="U35" s="151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/>
      <c r="AK35" s="4"/>
      <c r="AL35" s="4"/>
      <c r="AM35" s="4"/>
      <c r="AN35" s="4"/>
      <c r="AO35" s="4"/>
      <c r="AP35" s="146"/>
      <c r="AQ35" s="152"/>
      <c r="AR35" s="159"/>
      <c r="AS35" s="159"/>
      <c r="AT35" s="152"/>
      <c r="AU35" s="152"/>
      <c r="AV35" s="150">
        <f>SUM(AV32:AV34)</f>
        <v>0.126</v>
      </c>
      <c r="AW35" s="146"/>
      <c r="AX35" s="146"/>
      <c r="AY35" s="3"/>
      <c r="AZ35" s="3" t="s">
        <v>420</v>
      </c>
      <c r="BA35" s="208">
        <f aca="true" t="shared" si="37" ref="BA35:BI35">+(L30/12)*0.5</f>
        <v>0.515</v>
      </c>
      <c r="BB35" s="208">
        <f t="shared" si="37"/>
        <v>0.5253</v>
      </c>
      <c r="BC35" s="208">
        <f t="shared" si="37"/>
        <v>0.5358059999999999</v>
      </c>
      <c r="BD35" s="208">
        <f t="shared" si="37"/>
        <v>0.54652212</v>
      </c>
      <c r="BE35" s="208">
        <f t="shared" si="37"/>
        <v>0.5574525624</v>
      </c>
      <c r="BF35" s="208">
        <f t="shared" si="37"/>
        <v>0.568601613648</v>
      </c>
      <c r="BG35" s="208">
        <f t="shared" si="37"/>
        <v>0.57997364592096</v>
      </c>
      <c r="BH35" s="208">
        <f t="shared" si="37"/>
        <v>0.5915731188393792</v>
      </c>
      <c r="BI35" s="208">
        <f t="shared" si="37"/>
        <v>0.6034045812161668</v>
      </c>
      <c r="BJ35" s="146"/>
      <c r="BK35" s="146"/>
      <c r="BL35" s="146"/>
      <c r="BM35" s="146"/>
      <c r="BN35" s="146"/>
      <c r="BO35" s="146"/>
      <c r="BP35" s="146">
        <f>+BP24*BP31</f>
        <v>0</v>
      </c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</row>
    <row r="36" spans="1:101" ht="15">
      <c r="A36" s="146"/>
      <c r="B36" s="1"/>
      <c r="C36" s="3"/>
      <c r="D36" s="3"/>
      <c r="E36" s="208"/>
      <c r="F36" s="208"/>
      <c r="G36" s="208"/>
      <c r="H36" s="146"/>
      <c r="I36" s="146"/>
      <c r="J36" s="152"/>
      <c r="K36" s="3" t="s">
        <v>609</v>
      </c>
      <c r="L36" s="208">
        <f>100000/10000000</f>
        <v>0.01</v>
      </c>
      <c r="M36" s="263">
        <v>0.005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151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>+AJ31+1</f>
        <v>8</v>
      </c>
      <c r="AK36" s="199" t="s">
        <v>371</v>
      </c>
      <c r="AL36" s="211"/>
      <c r="AM36" s="208"/>
      <c r="AN36" s="208"/>
      <c r="AO36" s="208"/>
      <c r="AP36" s="146"/>
      <c r="AQ36" s="152"/>
      <c r="AR36" s="159"/>
      <c r="AS36" s="159" t="s">
        <v>531</v>
      </c>
      <c r="AT36" s="152"/>
      <c r="AU36" s="152"/>
      <c r="AV36" s="153">
        <f>ROUND(AV35*0.1,2)</f>
        <v>0.01</v>
      </c>
      <c r="AW36" s="146"/>
      <c r="AX36" s="146"/>
      <c r="AY36" s="3"/>
      <c r="AZ36" s="3" t="s">
        <v>425</v>
      </c>
      <c r="BA36" s="208">
        <f>5.393155+Y18</f>
        <v>7.150255994591129</v>
      </c>
      <c r="BB36" s="208">
        <f aca="true" t="shared" si="38" ref="BB36:BI36">+BA36+Z18</f>
        <v>8.937729341873135</v>
      </c>
      <c r="BC36" s="208">
        <f t="shared" si="38"/>
        <v>10.755977239485514</v>
      </c>
      <c r="BD36" s="208">
        <f t="shared" si="38"/>
        <v>12.603743894387462</v>
      </c>
      <c r="BE36" s="208">
        <f t="shared" si="38"/>
        <v>14.4815911036578</v>
      </c>
      <c r="BF36" s="208">
        <f t="shared" si="38"/>
        <v>16.39007478481528</v>
      </c>
      <c r="BG36" s="208">
        <f t="shared" si="38"/>
        <v>18.329744786782193</v>
      </c>
      <c r="BH36" s="208">
        <f t="shared" si="38"/>
        <v>20.301144654278538</v>
      </c>
      <c r="BI36" s="208">
        <f t="shared" si="38"/>
        <v>22.304811344536674</v>
      </c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</row>
    <row r="37" spans="1:101" ht="15">
      <c r="A37" s="146"/>
      <c r="B37" s="1" t="s">
        <v>0</v>
      </c>
      <c r="C37" s="3"/>
      <c r="D37" s="3" t="s">
        <v>443</v>
      </c>
      <c r="E37" s="208">
        <f>+BA28*B41</f>
        <v>0.0105533850375</v>
      </c>
      <c r="F37" s="208">
        <f>E37*1.05</f>
        <v>0.011081054289375</v>
      </c>
      <c r="G37" s="208">
        <f>F37*1.05</f>
        <v>0.01163510700384375</v>
      </c>
      <c r="H37" s="146"/>
      <c r="I37" s="146"/>
      <c r="J37" s="152"/>
      <c r="K37" s="152"/>
      <c r="L37" s="153"/>
      <c r="M37" s="153"/>
      <c r="N37" s="153"/>
      <c r="O37" s="153"/>
      <c r="P37" s="153"/>
      <c r="Q37" s="153"/>
      <c r="R37" s="153"/>
      <c r="S37" s="153"/>
      <c r="T37" s="153"/>
      <c r="U37" s="151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/>
      <c r="AK37" s="3" t="str">
        <f>+AK32</f>
        <v>Product A</v>
      </c>
      <c r="AL37" s="3"/>
      <c r="AM37" s="208">
        <f>+AM24*AM32</f>
        <v>12.36</v>
      </c>
      <c r="AN37" s="208">
        <f>+AN24*AN32</f>
        <v>12.36</v>
      </c>
      <c r="AO37" s="208">
        <f>+AO24*AO32</f>
        <v>12.36</v>
      </c>
      <c r="AP37" s="146"/>
      <c r="AQ37" s="161"/>
      <c r="AR37" s="181"/>
      <c r="AS37" s="181"/>
      <c r="AT37" s="161"/>
      <c r="AU37" s="161"/>
      <c r="AV37" s="174">
        <f>+AV35+AV36</f>
        <v>0.136</v>
      </c>
      <c r="AW37" s="146">
        <f>831785/10000000</f>
        <v>0.0831785</v>
      </c>
      <c r="AX37" s="146"/>
      <c r="AY37" s="3"/>
      <c r="AZ37" s="3" t="s">
        <v>603</v>
      </c>
      <c r="BA37" s="208">
        <v>0.083179</v>
      </c>
      <c r="BB37" s="208">
        <f aca="true" t="shared" si="39" ref="BB37:BI37">+BA37</f>
        <v>0.083179</v>
      </c>
      <c r="BC37" s="208">
        <f t="shared" si="39"/>
        <v>0.083179</v>
      </c>
      <c r="BD37" s="208">
        <f t="shared" si="39"/>
        <v>0.083179</v>
      </c>
      <c r="BE37" s="208">
        <f t="shared" si="39"/>
        <v>0.083179</v>
      </c>
      <c r="BF37" s="208">
        <f t="shared" si="39"/>
        <v>0.083179</v>
      </c>
      <c r="BG37" s="208">
        <f t="shared" si="39"/>
        <v>0.083179</v>
      </c>
      <c r="BH37" s="208">
        <f t="shared" si="39"/>
        <v>0.083179</v>
      </c>
      <c r="BI37" s="208">
        <f t="shared" si="39"/>
        <v>0.083179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</row>
    <row r="38" spans="1:101" ht="15.75" thickBot="1">
      <c r="A38" s="146"/>
      <c r="B38" s="1" t="s">
        <v>0</v>
      </c>
      <c r="C38" s="3"/>
      <c r="D38" s="3" t="s">
        <v>447</v>
      </c>
      <c r="E38" s="208">
        <f>+BA28*B42</f>
        <v>0.00527669251875</v>
      </c>
      <c r="F38" s="208">
        <f>E38*90%</f>
        <v>0.004749023266875</v>
      </c>
      <c r="G38" s="208">
        <f>F38*90%</f>
        <v>0.0042741209401875</v>
      </c>
      <c r="H38" s="146">
        <f>(1780770/10000000)</f>
        <v>0.178077</v>
      </c>
      <c r="I38" s="146"/>
      <c r="J38" s="3" t="s">
        <v>444</v>
      </c>
      <c r="K38" s="3" t="s">
        <v>256</v>
      </c>
      <c r="L38" s="208">
        <f>0.178077*95%*95%</f>
        <v>0.1607144925</v>
      </c>
      <c r="M38" s="208">
        <f>L38*95%</f>
        <v>0.15267876787499998</v>
      </c>
      <c r="N38" s="208">
        <f aca="true" t="shared" si="40" ref="N38:T38">M38*95%</f>
        <v>0.14504482948124997</v>
      </c>
      <c r="O38" s="208">
        <f t="shared" si="40"/>
        <v>0.13779258800718747</v>
      </c>
      <c r="P38" s="208">
        <f t="shared" si="40"/>
        <v>0.13090295860682807</v>
      </c>
      <c r="Q38" s="208">
        <f t="shared" si="40"/>
        <v>0.12435781067648666</v>
      </c>
      <c r="R38" s="208">
        <f t="shared" si="40"/>
        <v>0.11813992014266232</v>
      </c>
      <c r="S38" s="208">
        <f t="shared" si="40"/>
        <v>0.1122329241355292</v>
      </c>
      <c r="T38" s="208">
        <f t="shared" si="40"/>
        <v>0.10662127792875273</v>
      </c>
      <c r="U38" s="151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212"/>
      <c r="AK38" s="213" t="s">
        <v>445</v>
      </c>
      <c r="AL38" s="213"/>
      <c r="AM38" s="214">
        <f>SUM(AM37:AM37)</f>
        <v>12.36</v>
      </c>
      <c r="AN38" s="214">
        <f>SUM(AN37:AN37)</f>
        <v>12.36</v>
      </c>
      <c r="AO38" s="214">
        <f>SUM(AO37:AO37)</f>
        <v>12.36</v>
      </c>
      <c r="AP38" s="146"/>
      <c r="AQ38" s="146"/>
      <c r="AR38" s="146"/>
      <c r="AS38" s="146"/>
      <c r="AT38" s="146"/>
      <c r="AU38" s="146"/>
      <c r="AV38" s="146"/>
      <c r="AW38" s="146"/>
      <c r="AX38" s="146"/>
      <c r="AY38" s="3"/>
      <c r="AZ38" s="3"/>
      <c r="BA38" s="217">
        <f>SUM(BA34:BA37)</f>
        <v>7.774910967028785</v>
      </c>
      <c r="BB38" s="217">
        <f aca="true" t="shared" si="41" ref="BB38:BI38">SUM(BB34:BB37)</f>
        <v>9.57321995431079</v>
      </c>
      <c r="BC38" s="217">
        <f t="shared" si="41"/>
        <v>11.402520774585357</v>
      </c>
      <c r="BD38" s="217">
        <f t="shared" si="41"/>
        <v>13.261554720189302</v>
      </c>
      <c r="BE38" s="217">
        <f t="shared" si="41"/>
        <v>15.150894565975678</v>
      </c>
      <c r="BF38" s="217">
        <f t="shared" si="41"/>
        <v>17.071100736379517</v>
      </c>
      <c r="BG38" s="217">
        <f t="shared" si="41"/>
        <v>19.022727677377716</v>
      </c>
      <c r="BH38" s="217">
        <f t="shared" si="41"/>
        <v>21.00632362268597</v>
      </c>
      <c r="BI38" s="217">
        <f t="shared" si="41"/>
        <v>23.022430312312256</v>
      </c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</row>
    <row r="39" spans="1:101" ht="15.75" thickTop="1">
      <c r="A39" s="146"/>
      <c r="B39" s="1"/>
      <c r="C39" s="3"/>
      <c r="D39" s="3"/>
      <c r="E39" s="208"/>
      <c r="F39" s="208"/>
      <c r="G39" s="208"/>
      <c r="H39" s="146"/>
      <c r="I39" s="177"/>
      <c r="J39" s="152"/>
      <c r="K39" s="152"/>
      <c r="L39" s="153"/>
      <c r="M39" s="153"/>
      <c r="N39" s="153"/>
      <c r="O39" s="153"/>
      <c r="P39" s="153"/>
      <c r="Q39" s="153"/>
      <c r="R39" s="153"/>
      <c r="S39" s="153"/>
      <c r="T39" s="153"/>
      <c r="U39" s="151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59"/>
      <c r="AK39" s="159"/>
      <c r="AL39" s="159"/>
      <c r="AM39" s="159"/>
      <c r="AN39" s="159"/>
      <c r="AO39" s="159"/>
      <c r="AP39" s="146"/>
      <c r="AQ39" s="146"/>
      <c r="AR39" s="146"/>
      <c r="AS39" s="146"/>
      <c r="AT39" s="146"/>
      <c r="AU39" s="146"/>
      <c r="AV39" s="146"/>
      <c r="AW39" s="146"/>
      <c r="AX39" s="146"/>
      <c r="AY39" s="3"/>
      <c r="AZ39" s="3"/>
      <c r="BA39" s="208"/>
      <c r="BB39" s="208"/>
      <c r="BC39" s="208"/>
      <c r="BD39" s="208"/>
      <c r="BE39" s="208"/>
      <c r="BF39" s="208"/>
      <c r="BG39" s="208"/>
      <c r="BH39" s="208"/>
      <c r="BI39" s="208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</row>
    <row r="40" spans="1:101" ht="15">
      <c r="A40" s="146"/>
      <c r="B40" s="1"/>
      <c r="C40" s="3"/>
      <c r="D40" s="218" t="s">
        <v>456</v>
      </c>
      <c r="E40" s="217">
        <f>SUM(E34:E39)</f>
        <v>0.01583007755625</v>
      </c>
      <c r="F40" s="217">
        <f>SUM(F34:F39)</f>
        <v>0.01583007755625</v>
      </c>
      <c r="G40" s="217">
        <f>SUM(G34:G39)</f>
        <v>0.01590922794403125</v>
      </c>
      <c r="H40" s="146"/>
      <c r="I40" s="146"/>
      <c r="J40" s="3" t="s">
        <v>452</v>
      </c>
      <c r="K40" s="3" t="s">
        <v>453</v>
      </c>
      <c r="L40" s="208">
        <f aca="true" t="shared" si="42" ref="L40:T40">+L32-SUM(L33:L39)</f>
        <v>2.310255429943746</v>
      </c>
      <c r="M40" s="208">
        <f t="shared" si="42"/>
        <v>2.365838754568749</v>
      </c>
      <c r="N40" s="208">
        <f t="shared" si="42"/>
        <v>2.4214226745747163</v>
      </c>
      <c r="O40" s="208">
        <f t="shared" si="42"/>
        <v>2.474636855129899</v>
      </c>
      <c r="P40" s="208">
        <f t="shared" si="42"/>
        <v>2.5281392918429977</v>
      </c>
      <c r="Q40" s="208">
        <f t="shared" si="42"/>
        <v>2.5819477141548353</v>
      </c>
      <c r="R40" s="208">
        <f t="shared" si="42"/>
        <v>2.6360782660264124</v>
      </c>
      <c r="S40" s="208">
        <f t="shared" si="42"/>
        <v>2.690545504140108</v>
      </c>
      <c r="T40" s="208">
        <f t="shared" si="42"/>
        <v>2.7453623912147354</v>
      </c>
      <c r="U40" s="151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59"/>
      <c r="AJ40" s="159"/>
      <c r="AK40" s="159"/>
      <c r="AL40" s="159"/>
      <c r="AM40" s="151"/>
      <c r="AN40" s="151"/>
      <c r="AO40" s="151"/>
      <c r="AP40" s="146"/>
      <c r="AQ40" s="146"/>
      <c r="AR40" s="146"/>
      <c r="AS40" s="146"/>
      <c r="AT40" s="146"/>
      <c r="AU40" s="146"/>
      <c r="AV40" s="146"/>
      <c r="AW40" s="146"/>
      <c r="AX40" s="146"/>
      <c r="AY40" s="3">
        <f>+AY32+1</f>
        <v>4</v>
      </c>
      <c r="AZ40" s="3" t="s">
        <v>382</v>
      </c>
      <c r="BA40" s="208">
        <v>0</v>
      </c>
      <c r="BB40" s="208">
        <f>+BA40-Z16</f>
        <v>0</v>
      </c>
      <c r="BC40" s="208">
        <f>+BB40-AA16</f>
        <v>0</v>
      </c>
      <c r="BD40" s="208">
        <f>+BC40-AB16</f>
        <v>0</v>
      </c>
      <c r="BE40" s="208">
        <f>+BD40-AC16</f>
        <v>0</v>
      </c>
      <c r="BF40" s="208">
        <f>+BE40-AD16</f>
        <v>0</v>
      </c>
      <c r="BG40" s="208">
        <f>+BF40-AI16</f>
        <v>0</v>
      </c>
      <c r="BH40" s="208">
        <f>+BG40-AJ16</f>
        <v>0</v>
      </c>
      <c r="BI40" s="208">
        <f>+BH40-AK16</f>
        <v>0</v>
      </c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</row>
    <row r="41" spans="1:101" ht="15.75" thickBot="1">
      <c r="A41" s="146"/>
      <c r="B41" s="347">
        <v>0.005</v>
      </c>
      <c r="C41" s="3"/>
      <c r="D41" s="3"/>
      <c r="E41" s="208"/>
      <c r="F41" s="208"/>
      <c r="G41" s="208"/>
      <c r="H41" s="146"/>
      <c r="I41" s="146"/>
      <c r="J41" s="3"/>
      <c r="K41" s="3"/>
      <c r="L41" s="208"/>
      <c r="M41" s="208"/>
      <c r="N41" s="208"/>
      <c r="O41" s="208"/>
      <c r="P41" s="208"/>
      <c r="Q41" s="208"/>
      <c r="R41" s="208"/>
      <c r="S41" s="208"/>
      <c r="T41" s="208"/>
      <c r="U41" s="159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59"/>
      <c r="AJ41" s="159"/>
      <c r="AK41" s="159"/>
      <c r="AL41" s="159"/>
      <c r="AM41" s="151"/>
      <c r="AN41" s="151"/>
      <c r="AO41" s="151"/>
      <c r="AP41" s="146"/>
      <c r="AQ41" s="146"/>
      <c r="AR41" s="146"/>
      <c r="AS41" s="146"/>
      <c r="AT41" s="146"/>
      <c r="AU41" s="146"/>
      <c r="AV41" s="146"/>
      <c r="AW41" s="146"/>
      <c r="AX41" s="146"/>
      <c r="AY41" s="212"/>
      <c r="AZ41" s="212"/>
      <c r="BA41" s="214">
        <f aca="true" t="shared" si="43" ref="BA41:BI41">+BA28+BA30+BA38+BA40</f>
        <v>10.998986674528785</v>
      </c>
      <c r="BB41" s="214">
        <f t="shared" si="43"/>
        <v>12.64461689393579</v>
      </c>
      <c r="BC41" s="214">
        <f t="shared" si="43"/>
        <v>15.442271584729106</v>
      </c>
      <c r="BD41" s="214">
        <f t="shared" si="43"/>
        <v>17.163512942325866</v>
      </c>
      <c r="BE41" s="214">
        <f t="shared" si="43"/>
        <v>18.92194982950541</v>
      </c>
      <c r="BF41" s="214">
        <f t="shared" si="43"/>
        <v>20.717798189232767</v>
      </c>
      <c r="BG41" s="214">
        <f t="shared" si="43"/>
        <v>22.551285210088302</v>
      </c>
      <c r="BH41" s="214">
        <f t="shared" si="43"/>
        <v>24.422648231261025</v>
      </c>
      <c r="BI41" s="214">
        <f t="shared" si="43"/>
        <v>26.33213364295856</v>
      </c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</row>
    <row r="42" spans="1:101" ht="15.75" thickTop="1">
      <c r="A42" s="146"/>
      <c r="B42" s="347">
        <v>0.0025</v>
      </c>
      <c r="C42" s="3"/>
      <c r="D42" s="218" t="s">
        <v>459</v>
      </c>
      <c r="E42" s="208"/>
      <c r="F42" s="208"/>
      <c r="G42" s="208"/>
      <c r="H42" s="146"/>
      <c r="I42" s="146"/>
      <c r="J42" s="3" t="s">
        <v>457</v>
      </c>
      <c r="K42" s="3" t="s">
        <v>270</v>
      </c>
      <c r="L42" s="208">
        <v>0</v>
      </c>
      <c r="M42" s="208">
        <f aca="true" t="shared" si="44" ref="M42:R42">+L42</f>
        <v>0</v>
      </c>
      <c r="N42" s="208">
        <f t="shared" si="44"/>
        <v>0</v>
      </c>
      <c r="O42" s="208">
        <f t="shared" si="44"/>
        <v>0</v>
      </c>
      <c r="P42" s="208">
        <f t="shared" si="44"/>
        <v>0</v>
      </c>
      <c r="Q42" s="208">
        <f t="shared" si="44"/>
        <v>0</v>
      </c>
      <c r="R42" s="208">
        <f t="shared" si="44"/>
        <v>0</v>
      </c>
      <c r="S42" s="208">
        <f>+R42</f>
        <v>0</v>
      </c>
      <c r="T42" s="208">
        <f>+S42</f>
        <v>0</v>
      </c>
      <c r="U42" s="151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59"/>
      <c r="AK42" s="159"/>
      <c r="AL42" s="159"/>
      <c r="AM42" s="151"/>
      <c r="AN42" s="151"/>
      <c r="AO42" s="151"/>
      <c r="AP42" s="146"/>
      <c r="AQ42" s="146"/>
      <c r="AR42" s="146"/>
      <c r="AS42" s="146"/>
      <c r="AT42" s="146"/>
      <c r="AU42" s="146"/>
      <c r="AV42" s="146"/>
      <c r="AW42" s="146"/>
      <c r="AX42" s="146"/>
      <c r="AY42" s="1"/>
      <c r="AZ42" s="1"/>
      <c r="BA42" s="353"/>
      <c r="BB42" s="353"/>
      <c r="BC42" s="353"/>
      <c r="BD42" s="353"/>
      <c r="BE42" s="353"/>
      <c r="BF42" s="353"/>
      <c r="BG42" s="353"/>
      <c r="BH42" s="353"/>
      <c r="BI42" s="353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</row>
    <row r="43" spans="1:101" ht="15.75" thickBot="1">
      <c r="A43" s="146"/>
      <c r="B43" s="1"/>
      <c r="C43" s="212"/>
      <c r="D43" s="213" t="s">
        <v>462</v>
      </c>
      <c r="E43" s="348">
        <f>+E20+E26+E33+E40</f>
        <v>9.531350077556253</v>
      </c>
      <c r="F43" s="348">
        <f>+F20+F26+F33+F40</f>
        <v>9.724180477556251</v>
      </c>
      <c r="G43" s="348">
        <f>+G20+G26+G33+G40</f>
        <v>9.921072635944032</v>
      </c>
      <c r="H43" s="146"/>
      <c r="I43" s="14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59"/>
      <c r="AK43" s="159"/>
      <c r="AL43" s="159"/>
      <c r="AM43" s="151"/>
      <c r="AN43" s="151"/>
      <c r="AO43" s="151"/>
      <c r="AP43" s="146"/>
      <c r="AQ43" s="146"/>
      <c r="AR43" s="146"/>
      <c r="AS43" s="146"/>
      <c r="AT43" s="146"/>
      <c r="AU43" s="146"/>
      <c r="AV43" s="146"/>
      <c r="AW43" s="146"/>
      <c r="AX43" s="146"/>
      <c r="AY43" s="1"/>
      <c r="AZ43" s="1"/>
      <c r="BA43" s="353">
        <f aca="true" t="shared" si="45" ref="BA43:BI43">+BA22-BA41</f>
        <v>-2.4263322530485922</v>
      </c>
      <c r="BB43" s="353">
        <f t="shared" si="45"/>
        <v>-3.1355122930485937</v>
      </c>
      <c r="BC43" s="353">
        <f t="shared" si="45"/>
        <v>-4.210740876113835</v>
      </c>
      <c r="BD43" s="353">
        <f t="shared" si="45"/>
        <v>-4.172402803636114</v>
      </c>
      <c r="BE43" s="353">
        <f t="shared" si="45"/>
        <v>5.866702030291169</v>
      </c>
      <c r="BF43" s="353">
        <f t="shared" si="45"/>
        <v>5.906588960896986</v>
      </c>
      <c r="BG43" s="353">
        <f t="shared" si="45"/>
        <v>-4.052726369885075</v>
      </c>
      <c r="BH43" s="353">
        <f t="shared" si="45"/>
        <v>-4.011228007282774</v>
      </c>
      <c r="BI43" s="353">
        <f t="shared" si="45"/>
        <v>-3.968899677428432</v>
      </c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</row>
    <row r="44" spans="1:101" ht="15.75" thickTop="1">
      <c r="A44" s="146"/>
      <c r="B44" s="146"/>
      <c r="C44" s="146"/>
      <c r="D44" s="146"/>
      <c r="E44" s="146"/>
      <c r="F44" s="146"/>
      <c r="G44" s="146"/>
      <c r="H44" s="146"/>
      <c r="I44" s="146"/>
      <c r="J44" s="212" t="s">
        <v>11</v>
      </c>
      <c r="K44" s="212" t="s">
        <v>460</v>
      </c>
      <c r="L44" s="227">
        <f aca="true" t="shared" si="46" ref="L44:Q44">L40-L42</f>
        <v>2.310255429943746</v>
      </c>
      <c r="M44" s="227">
        <f t="shared" si="46"/>
        <v>2.365838754568749</v>
      </c>
      <c r="N44" s="227">
        <f t="shared" si="46"/>
        <v>2.4214226745747163</v>
      </c>
      <c r="O44" s="227">
        <f t="shared" si="46"/>
        <v>2.474636855129899</v>
      </c>
      <c r="P44" s="227">
        <f t="shared" si="46"/>
        <v>2.5281392918429977</v>
      </c>
      <c r="Q44" s="227">
        <f t="shared" si="46"/>
        <v>2.5819477141548353</v>
      </c>
      <c r="R44" s="227">
        <f>R40-R42</f>
        <v>2.6360782660264124</v>
      </c>
      <c r="S44" s="227">
        <f>S40-S42</f>
        <v>2.690545504140108</v>
      </c>
      <c r="T44" s="227">
        <f>T40-T42</f>
        <v>2.7453623912147354</v>
      </c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71"/>
      <c r="AJ44" s="159"/>
      <c r="AK44" s="172"/>
      <c r="AL44" s="172"/>
      <c r="AM44" s="159"/>
      <c r="AN44" s="159"/>
      <c r="AO44" s="151"/>
      <c r="AP44" s="146"/>
      <c r="AQ44" s="146"/>
      <c r="AR44" s="146"/>
      <c r="AS44" s="146"/>
      <c r="AT44" s="146"/>
      <c r="AU44" s="146"/>
      <c r="AV44" s="146"/>
      <c r="AW44" s="146"/>
      <c r="AX44" s="146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</row>
    <row r="45" spans="1:101" ht="15">
      <c r="A45" s="146"/>
      <c r="B45" s="146">
        <f>5267+6811</f>
        <v>12078</v>
      </c>
      <c r="C45" s="146"/>
      <c r="D45" s="146"/>
      <c r="E45" s="146">
        <f>+F43/E43</f>
        <v>1.0202311738033902</v>
      </c>
      <c r="F45" s="146">
        <f>+G43/F43</f>
        <v>1.0202476865626071</v>
      </c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82"/>
      <c r="AJ45" s="159"/>
      <c r="AK45" s="159" t="s">
        <v>0</v>
      </c>
      <c r="AL45" s="159"/>
      <c r="AM45" s="151" t="s">
        <v>0</v>
      </c>
      <c r="AN45" s="151" t="s">
        <v>0</v>
      </c>
      <c r="AO45" s="159"/>
      <c r="AP45" s="146"/>
      <c r="AQ45" s="146"/>
      <c r="AR45" s="146"/>
      <c r="AS45" s="146"/>
      <c r="AT45" s="146"/>
      <c r="AU45" s="146"/>
      <c r="AV45" s="146"/>
      <c r="AW45" s="146"/>
      <c r="AX45" s="146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</row>
    <row r="46" spans="1:101" ht="1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71"/>
      <c r="AJ46" s="159"/>
      <c r="AK46" s="159"/>
      <c r="AL46" s="159"/>
      <c r="AM46" s="151"/>
      <c r="AN46" s="151"/>
      <c r="AO46" s="151"/>
      <c r="AP46" s="146"/>
      <c r="AQ46" s="146"/>
      <c r="AR46" s="146"/>
      <c r="AS46" s="146"/>
      <c r="AT46" s="146"/>
      <c r="AU46" s="146"/>
      <c r="AV46" s="146"/>
      <c r="AW46" s="146"/>
      <c r="AX46" s="146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</row>
    <row r="47" spans="1:101" ht="1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71"/>
      <c r="AJ47" s="146"/>
      <c r="AK47" s="146"/>
      <c r="AL47" s="146"/>
      <c r="AM47" s="146"/>
      <c r="AN47" s="146"/>
      <c r="AO47" s="151"/>
      <c r="AP47" s="146"/>
      <c r="AQ47" s="146"/>
      <c r="AR47" s="146"/>
      <c r="AS47" s="146"/>
      <c r="AT47" s="146"/>
      <c r="AU47" s="146"/>
      <c r="AV47" s="146"/>
      <c r="AW47" s="146"/>
      <c r="AX47" s="146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</row>
    <row r="48" spans="1:101" ht="15">
      <c r="A48" s="146"/>
      <c r="B48" s="146"/>
      <c r="C48" s="146"/>
      <c r="D48" s="146"/>
      <c r="E48" s="146"/>
      <c r="F48" s="146"/>
      <c r="G48" s="146"/>
      <c r="H48" s="146"/>
      <c r="I48" s="146"/>
      <c r="J48" s="183"/>
      <c r="K48" s="146"/>
      <c r="L48" s="146"/>
      <c r="M48" s="146"/>
      <c r="N48" s="146"/>
      <c r="O48" s="146"/>
      <c r="P48" s="159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84"/>
      <c r="AL48" s="184"/>
      <c r="AM48" s="156"/>
      <c r="AN48" s="15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</row>
    <row r="49" spans="1:101" ht="15">
      <c r="A49" s="146"/>
      <c r="B49" s="146"/>
      <c r="C49" s="146"/>
      <c r="D49" s="146"/>
      <c r="E49" s="146"/>
      <c r="F49" s="146"/>
      <c r="G49" s="146"/>
      <c r="H49" s="146"/>
      <c r="I49" s="146"/>
      <c r="J49" s="159"/>
      <c r="K49" s="146"/>
      <c r="L49" s="146"/>
      <c r="M49" s="146"/>
      <c r="N49" s="146"/>
      <c r="O49" s="146"/>
      <c r="P49" s="159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56"/>
      <c r="AN49" s="156"/>
      <c r="AO49" s="156"/>
      <c r="AP49" s="146"/>
      <c r="AQ49" s="146"/>
      <c r="AR49" s="146"/>
      <c r="AS49" s="146"/>
      <c r="AT49" s="146"/>
      <c r="AU49" s="146"/>
      <c r="AV49" s="146"/>
      <c r="AW49" s="146"/>
      <c r="AX49" s="146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</row>
    <row r="50" spans="1:101" ht="15">
      <c r="A50" s="146"/>
      <c r="B50" s="146"/>
      <c r="C50" s="146"/>
      <c r="D50" s="146"/>
      <c r="E50" s="146"/>
      <c r="F50" s="146"/>
      <c r="G50" s="146"/>
      <c r="H50" s="146"/>
      <c r="I50" s="146"/>
      <c r="J50" s="159"/>
      <c r="K50" s="146"/>
      <c r="L50" s="146"/>
      <c r="M50" s="146"/>
      <c r="N50" s="146"/>
      <c r="O50" s="146"/>
      <c r="P50" s="159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56"/>
      <c r="AN50" s="156"/>
      <c r="AO50" s="156"/>
      <c r="AP50" s="146"/>
      <c r="AQ50" s="146"/>
      <c r="AR50" s="146"/>
      <c r="AS50" s="146"/>
      <c r="AT50" s="146"/>
      <c r="AU50" s="146"/>
      <c r="AV50" s="146"/>
      <c r="AW50" s="146"/>
      <c r="AX50" s="146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</row>
    <row r="51" spans="1:101" ht="15">
      <c r="A51" s="146"/>
      <c r="B51" s="146"/>
      <c r="C51" s="146"/>
      <c r="D51" s="146"/>
      <c r="E51" s="146"/>
      <c r="F51" s="146"/>
      <c r="G51" s="146"/>
      <c r="H51" s="146"/>
      <c r="I51" s="146"/>
      <c r="J51" s="159"/>
      <c r="K51" s="146"/>
      <c r="L51" s="146"/>
      <c r="M51" s="146"/>
      <c r="N51" s="146"/>
      <c r="O51" s="146"/>
      <c r="P51" s="159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85"/>
      <c r="AK51" s="146"/>
      <c r="AL51" s="146"/>
      <c r="AM51" s="156"/>
      <c r="AN51" s="156"/>
      <c r="AO51" s="156"/>
      <c r="AP51" s="146"/>
      <c r="AQ51" s="146"/>
      <c r="AR51" s="146"/>
      <c r="AS51" s="146"/>
      <c r="AT51" s="146"/>
      <c r="AU51" s="146"/>
      <c r="AV51" s="146"/>
      <c r="AW51" s="146"/>
      <c r="AX51" s="146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</row>
    <row r="52" spans="1:101" ht="15">
      <c r="A52" s="146"/>
      <c r="B52" s="146"/>
      <c r="C52" s="146"/>
      <c r="D52" s="146"/>
      <c r="E52" s="146"/>
      <c r="F52" s="146"/>
      <c r="G52" s="146"/>
      <c r="H52" s="146"/>
      <c r="I52" s="146"/>
      <c r="J52" s="159"/>
      <c r="K52" s="146"/>
      <c r="L52" s="146"/>
      <c r="M52" s="146"/>
      <c r="N52" s="146"/>
      <c r="O52" s="146"/>
      <c r="P52" s="159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56"/>
      <c r="AN52" s="156"/>
      <c r="AO52" s="156"/>
      <c r="AP52" s="146"/>
      <c r="AQ52" s="146"/>
      <c r="AR52" s="146"/>
      <c r="AS52" s="146"/>
      <c r="AT52" s="146"/>
      <c r="AU52" s="146"/>
      <c r="AV52" s="146"/>
      <c r="AW52" s="146"/>
      <c r="AX52" s="146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</row>
    <row r="53" spans="1:101" ht="15">
      <c r="A53" s="146"/>
      <c r="B53" s="186"/>
      <c r="C53" s="146"/>
      <c r="D53" s="146"/>
      <c r="E53" s="146"/>
      <c r="F53" s="146"/>
      <c r="G53" s="146"/>
      <c r="H53" s="146"/>
      <c r="I53" s="146"/>
      <c r="J53" s="159"/>
      <c r="K53" s="146"/>
      <c r="L53" s="146"/>
      <c r="M53" s="146"/>
      <c r="N53" s="146"/>
      <c r="O53" s="146"/>
      <c r="P53" s="159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5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</row>
    <row r="54" spans="1:101" ht="15">
      <c r="A54" s="146"/>
      <c r="B54" s="146"/>
      <c r="C54" s="146"/>
      <c r="D54" s="146"/>
      <c r="E54" s="146"/>
      <c r="F54" s="146"/>
      <c r="G54" s="146"/>
      <c r="H54" s="146"/>
      <c r="I54" s="146"/>
      <c r="J54" s="159"/>
      <c r="K54" s="146"/>
      <c r="L54" s="146"/>
      <c r="M54" s="146"/>
      <c r="N54" s="146"/>
      <c r="O54" s="146"/>
      <c r="P54" s="159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5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</row>
    <row r="55" spans="1:101" ht="15">
      <c r="A55" s="146"/>
      <c r="B55" s="146"/>
      <c r="C55" s="146"/>
      <c r="D55" s="146"/>
      <c r="E55" s="146"/>
      <c r="F55" s="146"/>
      <c r="G55" s="146"/>
      <c r="H55" s="146"/>
      <c r="I55" s="146"/>
      <c r="J55" s="159"/>
      <c r="K55" s="146"/>
      <c r="L55" s="146"/>
      <c r="M55" s="146"/>
      <c r="N55" s="146"/>
      <c r="O55" s="146"/>
      <c r="P55" s="159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</row>
    <row r="56" spans="1:101" ht="15">
      <c r="A56" s="146"/>
      <c r="B56" s="146"/>
      <c r="C56" s="146"/>
      <c r="D56" s="146"/>
      <c r="E56" s="146"/>
      <c r="F56" s="146"/>
      <c r="G56" s="146"/>
      <c r="H56" s="146"/>
      <c r="I56" s="146"/>
      <c r="J56" s="159"/>
      <c r="K56" s="146"/>
      <c r="L56" s="146"/>
      <c r="M56" s="146"/>
      <c r="N56" s="146"/>
      <c r="O56" s="146"/>
      <c r="P56" s="159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</row>
    <row r="57" spans="1:101" ht="15">
      <c r="A57" s="146"/>
      <c r="B57" s="146"/>
      <c r="C57" s="146"/>
      <c r="D57" s="146"/>
      <c r="E57" s="146"/>
      <c r="F57" s="146"/>
      <c r="G57" s="146"/>
      <c r="H57" s="146"/>
      <c r="I57" s="146"/>
      <c r="J57" s="159"/>
      <c r="K57" s="146"/>
      <c r="L57" s="146"/>
      <c r="M57" s="146"/>
      <c r="N57" s="146"/>
      <c r="O57" s="146"/>
      <c r="P57" s="159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</row>
    <row r="58" spans="1:101" ht="15">
      <c r="A58" s="146"/>
      <c r="B58" s="146"/>
      <c r="C58" s="146"/>
      <c r="D58" s="146"/>
      <c r="E58" s="146"/>
      <c r="F58" s="146"/>
      <c r="G58" s="146"/>
      <c r="H58" s="146"/>
      <c r="I58" s="146"/>
      <c r="J58" s="159"/>
      <c r="K58" s="146"/>
      <c r="L58" s="146"/>
      <c r="M58" s="146"/>
      <c r="N58" s="146"/>
      <c r="O58" s="146"/>
      <c r="P58" s="159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</row>
    <row r="59" spans="1:101" ht="15">
      <c r="A59" s="146"/>
      <c r="B59" s="146"/>
      <c r="C59" s="146"/>
      <c r="D59" s="146"/>
      <c r="E59" s="146"/>
      <c r="F59" s="146"/>
      <c r="G59" s="146"/>
      <c r="H59" s="146"/>
      <c r="I59" s="146"/>
      <c r="J59" s="159"/>
      <c r="K59" s="146"/>
      <c r="L59" s="146"/>
      <c r="M59" s="146"/>
      <c r="N59" s="146"/>
      <c r="O59" s="146"/>
      <c r="P59" s="159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</row>
    <row r="60" spans="1:101" ht="15">
      <c r="A60" s="146"/>
      <c r="B60" s="146"/>
      <c r="C60" s="146"/>
      <c r="D60" s="146"/>
      <c r="E60" s="146"/>
      <c r="F60" s="146"/>
      <c r="G60" s="146"/>
      <c r="H60" s="146"/>
      <c r="I60" s="146"/>
      <c r="J60" s="159"/>
      <c r="K60" s="146"/>
      <c r="L60" s="146"/>
      <c r="M60" s="146"/>
      <c r="N60" s="146"/>
      <c r="O60" s="146"/>
      <c r="P60" s="159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</row>
    <row r="61" spans="1:101" ht="1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</row>
    <row r="62" spans="1:101" ht="1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</row>
    <row r="63" spans="1:101" ht="1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</row>
    <row r="64" spans="1:101" ht="1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</row>
    <row r="65" spans="1:101" ht="1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5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</row>
    <row r="66" spans="1:101" ht="1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</row>
    <row r="67" spans="1:101" ht="1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56"/>
      <c r="R67" s="156"/>
      <c r="S67" s="156"/>
      <c r="T67" s="15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</row>
    <row r="68" spans="1:101" ht="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</row>
    <row r="69" spans="1:101" ht="1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</row>
    <row r="70" spans="1:101" ht="1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</row>
    <row r="71" spans="1:101" ht="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71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</row>
    <row r="72" spans="1:101" ht="1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</row>
    <row r="73" spans="1:101" ht="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71"/>
      <c r="R73" s="171"/>
      <c r="S73" s="171"/>
      <c r="T73" s="171"/>
      <c r="U73" s="146"/>
      <c r="V73" s="182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</row>
    <row r="74" spans="1:101" ht="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5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</row>
    <row r="75" spans="1:101" ht="1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87"/>
      <c r="L75" s="187"/>
      <c r="M75" s="187"/>
      <c r="N75" s="187"/>
      <c r="O75" s="187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</row>
    <row r="76" spans="1:101" ht="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87"/>
      <c r="L76" s="187"/>
      <c r="M76" s="187"/>
      <c r="N76" s="187"/>
      <c r="O76" s="187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</row>
    <row r="77" spans="1:101" ht="1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87"/>
      <c r="L77" s="187"/>
      <c r="M77" s="187"/>
      <c r="N77" s="187"/>
      <c r="O77" s="187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</row>
    <row r="78" spans="1:101" ht="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87"/>
      <c r="L78" s="187"/>
      <c r="M78" s="187"/>
      <c r="N78" s="187"/>
      <c r="O78" s="187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</row>
    <row r="79" spans="1:101" ht="1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87"/>
      <c r="L79" s="187"/>
      <c r="M79" s="187"/>
      <c r="N79" s="187"/>
      <c r="O79" s="187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</row>
    <row r="80" spans="1:101" ht="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87"/>
      <c r="L80" s="187"/>
      <c r="M80" s="187"/>
      <c r="N80" s="187"/>
      <c r="O80" s="187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</row>
    <row r="81" spans="1:101" ht="1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87"/>
      <c r="L81" s="187"/>
      <c r="M81" s="187"/>
      <c r="N81" s="187"/>
      <c r="O81" s="187"/>
      <c r="P81" s="146"/>
      <c r="Q81" s="146"/>
      <c r="R81" s="146"/>
      <c r="S81" s="146"/>
      <c r="T81" s="146"/>
      <c r="U81" s="146"/>
      <c r="V81" s="15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</row>
    <row r="82" spans="1:101" ht="1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87"/>
      <c r="L82" s="187"/>
      <c r="M82" s="187"/>
      <c r="N82" s="187"/>
      <c r="O82" s="187"/>
      <c r="P82" s="146"/>
      <c r="Q82" s="146"/>
      <c r="R82" s="146"/>
      <c r="S82" s="146"/>
      <c r="T82" s="146"/>
      <c r="U82" s="146"/>
      <c r="V82" s="15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</row>
    <row r="83" spans="1:101" ht="1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87"/>
      <c r="L83" s="187"/>
      <c r="M83" s="187"/>
      <c r="N83" s="187"/>
      <c r="O83" s="187"/>
      <c r="P83" s="146"/>
      <c r="Q83" s="146"/>
      <c r="R83" s="146"/>
      <c r="S83" s="146"/>
      <c r="T83" s="146"/>
      <c r="U83" s="146"/>
      <c r="V83" s="15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</row>
    <row r="84" spans="1:101" ht="1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87"/>
      <c r="L84" s="187"/>
      <c r="M84" s="187"/>
      <c r="N84" s="187"/>
      <c r="O84" s="187"/>
      <c r="P84" s="146"/>
      <c r="Q84" s="146"/>
      <c r="R84" s="146"/>
      <c r="S84" s="146"/>
      <c r="T84" s="146"/>
      <c r="U84" s="146"/>
      <c r="V84" s="15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</row>
    <row r="85" spans="1:101" ht="1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87"/>
      <c r="L85" s="187"/>
      <c r="M85" s="187"/>
      <c r="N85" s="187"/>
      <c r="O85" s="187"/>
      <c r="P85" s="146"/>
      <c r="Q85" s="146"/>
      <c r="R85" s="146"/>
      <c r="S85" s="146"/>
      <c r="T85" s="146"/>
      <c r="U85" s="146"/>
      <c r="V85" s="15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</row>
    <row r="86" spans="1:101" ht="1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87"/>
      <c r="L86" s="187"/>
      <c r="M86" s="187"/>
      <c r="N86" s="187"/>
      <c r="O86" s="187"/>
      <c r="P86" s="146"/>
      <c r="Q86" s="146"/>
      <c r="R86" s="146"/>
      <c r="S86" s="146"/>
      <c r="T86" s="146"/>
      <c r="U86" s="146"/>
      <c r="V86" s="15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</row>
    <row r="87" spans="1:101" ht="1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87"/>
      <c r="L87" s="187"/>
      <c r="M87" s="187"/>
      <c r="N87" s="187"/>
      <c r="O87" s="187"/>
      <c r="P87" s="146"/>
      <c r="Q87" s="146"/>
      <c r="R87" s="146"/>
      <c r="S87" s="146"/>
      <c r="T87" s="146"/>
      <c r="U87" s="146"/>
      <c r="V87" s="182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</row>
    <row r="88" spans="1:101" ht="1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87"/>
      <c r="L88" s="187"/>
      <c r="M88" s="187"/>
      <c r="N88" s="187"/>
      <c r="O88" s="187"/>
      <c r="P88" s="146"/>
      <c r="Q88" s="146"/>
      <c r="R88" s="146"/>
      <c r="S88" s="146"/>
      <c r="T88" s="146"/>
      <c r="U88" s="187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</row>
    <row r="89" spans="1:70" ht="15">
      <c r="A89" s="187"/>
      <c r="B89" s="187"/>
      <c r="C89" s="146"/>
      <c r="D89" s="146"/>
      <c r="E89" s="146"/>
      <c r="F89" s="146"/>
      <c r="G89" s="146"/>
      <c r="H89" s="187"/>
      <c r="I89" s="187"/>
      <c r="J89" s="146"/>
      <c r="K89" s="187"/>
      <c r="L89" s="187"/>
      <c r="M89" s="187"/>
      <c r="N89" s="187"/>
      <c r="O89" s="187"/>
      <c r="P89" s="146"/>
      <c r="Q89" s="146"/>
      <c r="R89" s="146"/>
      <c r="S89" s="146"/>
      <c r="T89" s="146"/>
      <c r="U89" s="187"/>
      <c r="V89" s="188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1:70" ht="1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8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1:70" ht="12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8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</row>
    <row r="92" spans="1:70" ht="12.7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8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</row>
    <row r="93" spans="1:70" ht="12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8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4" spans="1:70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8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</row>
    <row r="95" spans="1:70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8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</row>
    <row r="96" spans="1:70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8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</row>
    <row r="97" spans="1:70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9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</row>
    <row r="98" spans="1:70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8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</row>
    <row r="99" spans="1:70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</row>
    <row r="100" spans="1:70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</row>
    <row r="101" spans="1:70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</row>
    <row r="102" spans="1:70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</row>
    <row r="103" spans="1:70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</row>
    <row r="104" spans="1:70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</row>
    <row r="105" spans="1:70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</row>
    <row r="106" spans="1:70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</row>
    <row r="107" spans="1:70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</row>
    <row r="108" spans="1:70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</row>
    <row r="109" spans="1:70" ht="12.7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</row>
    <row r="110" spans="1:70" ht="12.7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</row>
    <row r="111" spans="1:70" ht="12.7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</row>
    <row r="112" spans="1:70" ht="12.7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</row>
    <row r="113" spans="1:70" ht="12.7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</row>
    <row r="114" spans="1:70" ht="12.7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</row>
    <row r="115" spans="1:70" ht="12.7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</row>
    <row r="116" spans="1:70" ht="12.75">
      <c r="A116" s="187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</row>
    <row r="117" spans="1:70" ht="12.75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</row>
    <row r="118" spans="1:70" ht="12.75">
      <c r="A118" s="187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</row>
    <row r="119" spans="1:70" ht="12.75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</row>
    <row r="120" spans="1:70" ht="12.75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</row>
    <row r="121" spans="1:70" ht="12.75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</row>
    <row r="122" spans="1:70" ht="12.75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</row>
    <row r="123" spans="1:70" ht="12.75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</row>
    <row r="124" spans="1:70" ht="12.75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</row>
    <row r="125" spans="1:70" ht="12.75">
      <c r="A125" s="187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</row>
    <row r="126" spans="1:70" ht="12.75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7"/>
      <c r="BG126" s="187"/>
      <c r="BH126" s="187"/>
      <c r="BI126" s="187"/>
      <c r="BJ126" s="187"/>
      <c r="BK126" s="187"/>
      <c r="BL126" s="187"/>
      <c r="BM126" s="187"/>
      <c r="BN126" s="187"/>
      <c r="BO126" s="187"/>
      <c r="BP126" s="187"/>
      <c r="BQ126" s="187"/>
      <c r="BR126" s="187"/>
    </row>
    <row r="127" spans="1:70" ht="12.75">
      <c r="A127" s="187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87"/>
      <c r="BF127" s="187"/>
      <c r="BG127" s="187"/>
      <c r="BH127" s="187"/>
      <c r="BI127" s="187"/>
      <c r="BJ127" s="187"/>
      <c r="BK127" s="187"/>
      <c r="BL127" s="187"/>
      <c r="BM127" s="187"/>
      <c r="BN127" s="187"/>
      <c r="BO127" s="187"/>
      <c r="BP127" s="187"/>
      <c r="BQ127" s="187"/>
      <c r="BR127" s="187"/>
    </row>
    <row r="128" spans="1:70" ht="12.75">
      <c r="A128" s="187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</row>
    <row r="129" spans="1:70" ht="12.75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</row>
    <row r="130" spans="1:70" ht="12.75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</row>
    <row r="131" spans="1:70" ht="12.75">
      <c r="A131" s="187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</row>
    <row r="132" spans="1:70" ht="12.75">
      <c r="A132" s="187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7"/>
      <c r="BN132" s="187"/>
      <c r="BO132" s="187"/>
      <c r="BP132" s="187"/>
      <c r="BQ132" s="187"/>
      <c r="BR132" s="187"/>
    </row>
    <row r="133" spans="1:70" ht="12.75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7"/>
      <c r="BG133" s="187"/>
      <c r="BH133" s="187"/>
      <c r="BI133" s="187"/>
      <c r="BJ133" s="187"/>
      <c r="BK133" s="187"/>
      <c r="BL133" s="187"/>
      <c r="BM133" s="187"/>
      <c r="BN133" s="187"/>
      <c r="BO133" s="187"/>
      <c r="BP133" s="187"/>
      <c r="BQ133" s="187"/>
      <c r="BR133" s="187"/>
    </row>
    <row r="134" spans="1:70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7"/>
      <c r="BR134" s="187"/>
    </row>
    <row r="135" spans="1:70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187"/>
      <c r="BN135" s="187"/>
      <c r="BO135" s="187"/>
      <c r="BP135" s="187"/>
      <c r="BQ135" s="187"/>
      <c r="BR135" s="187"/>
    </row>
    <row r="136" spans="1:70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7"/>
      <c r="BN136" s="187"/>
      <c r="BO136" s="187"/>
      <c r="BP136" s="187"/>
      <c r="BQ136" s="187"/>
      <c r="BR136" s="187"/>
    </row>
    <row r="137" spans="1:70" ht="12.75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187"/>
      <c r="BN137" s="187"/>
      <c r="BO137" s="187"/>
      <c r="BP137" s="187"/>
      <c r="BQ137" s="187"/>
      <c r="BR137" s="187"/>
    </row>
    <row r="138" spans="1:70" ht="12.75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</row>
    <row r="139" spans="1:70" ht="12.75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</row>
    <row r="140" spans="1:70" ht="12.75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7"/>
      <c r="BN140" s="187"/>
      <c r="BO140" s="187"/>
      <c r="BP140" s="187"/>
      <c r="BQ140" s="187"/>
      <c r="BR140" s="187"/>
    </row>
    <row r="141" spans="1:70" ht="12.75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87"/>
      <c r="BG141" s="187"/>
      <c r="BH141" s="187"/>
      <c r="BI141" s="187"/>
      <c r="BJ141" s="187"/>
      <c r="BK141" s="187"/>
      <c r="BL141" s="187"/>
      <c r="BM141" s="187"/>
      <c r="BN141" s="187"/>
      <c r="BO141" s="187"/>
      <c r="BP141" s="187"/>
      <c r="BQ141" s="187"/>
      <c r="BR141" s="187"/>
    </row>
    <row r="142" spans="1:70" ht="12.75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  <c r="BM142" s="187"/>
      <c r="BN142" s="187"/>
      <c r="BO142" s="187"/>
      <c r="BP142" s="187"/>
      <c r="BQ142" s="187"/>
      <c r="BR142" s="187"/>
    </row>
    <row r="143" spans="1:70" ht="12.75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7"/>
      <c r="BC143" s="187"/>
      <c r="BD143" s="187"/>
      <c r="BE143" s="187"/>
      <c r="BF143" s="187"/>
      <c r="BG143" s="187"/>
      <c r="BH143" s="187"/>
      <c r="BI143" s="187"/>
      <c r="BJ143" s="187"/>
      <c r="BK143" s="187"/>
      <c r="BL143" s="187"/>
      <c r="BM143" s="187"/>
      <c r="BN143" s="187"/>
      <c r="BO143" s="187"/>
      <c r="BP143" s="187"/>
      <c r="BQ143" s="187"/>
      <c r="BR143" s="187"/>
    </row>
    <row r="144" spans="1:70" ht="12.75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7"/>
      <c r="BG144" s="187"/>
      <c r="BH144" s="187"/>
      <c r="BI144" s="187"/>
      <c r="BJ144" s="187"/>
      <c r="BK144" s="187"/>
      <c r="BL144" s="187"/>
      <c r="BM144" s="187"/>
      <c r="BN144" s="187"/>
      <c r="BO144" s="187"/>
      <c r="BP144" s="187"/>
      <c r="BQ144" s="187"/>
      <c r="BR144" s="187"/>
    </row>
    <row r="145" spans="1:70" ht="12.75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</row>
    <row r="146" spans="1:70" ht="12.75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</row>
    <row r="147" spans="1:70" ht="12.75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  <c r="AT147" s="187"/>
      <c r="AU147" s="187"/>
      <c r="AV147" s="187"/>
      <c r="AW147" s="187"/>
      <c r="AX147" s="187"/>
      <c r="AY147" s="187"/>
      <c r="AZ147" s="187"/>
      <c r="BA147" s="187"/>
      <c r="BB147" s="187"/>
      <c r="BC147" s="187"/>
      <c r="BD147" s="187"/>
      <c r="BE147" s="187"/>
      <c r="BF147" s="187"/>
      <c r="BG147" s="187"/>
      <c r="BH147" s="187"/>
      <c r="BI147" s="187"/>
      <c r="BJ147" s="187"/>
      <c r="BK147" s="187"/>
      <c r="BL147" s="187"/>
      <c r="BM147" s="187"/>
      <c r="BN147" s="187"/>
      <c r="BO147" s="187"/>
      <c r="BP147" s="187"/>
      <c r="BQ147" s="187"/>
      <c r="BR147" s="187"/>
    </row>
    <row r="148" spans="1:70" ht="12.75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</row>
    <row r="149" spans="1:70" ht="12.75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7"/>
      <c r="BB149" s="187"/>
      <c r="BC149" s="187"/>
      <c r="BD149" s="187"/>
      <c r="BE149" s="187"/>
      <c r="BF149" s="187"/>
      <c r="BG149" s="187"/>
      <c r="BH149" s="187"/>
      <c r="BI149" s="187"/>
      <c r="BJ149" s="187"/>
      <c r="BK149" s="187"/>
      <c r="BL149" s="187"/>
      <c r="BM149" s="187"/>
      <c r="BN149" s="187"/>
      <c r="BO149" s="187"/>
      <c r="BP149" s="187"/>
      <c r="BQ149" s="187"/>
      <c r="BR149" s="187"/>
    </row>
    <row r="150" spans="1:70" ht="12.75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7"/>
      <c r="BR150" s="187"/>
    </row>
    <row r="151" spans="1:70" ht="12.75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7"/>
      <c r="BR151" s="187"/>
    </row>
    <row r="152" spans="1:70" ht="12.75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</row>
    <row r="153" spans="1:70" ht="12.75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7"/>
      <c r="BR153" s="187"/>
    </row>
    <row r="154" spans="1:70" ht="12.75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</row>
    <row r="155" spans="1:70" ht="12.75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</row>
    <row r="156" spans="1:70" ht="12.75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187"/>
      <c r="BF156" s="187"/>
      <c r="BG156" s="187"/>
      <c r="BH156" s="187"/>
      <c r="BI156" s="187"/>
      <c r="BJ156" s="187"/>
      <c r="BK156" s="187"/>
      <c r="BL156" s="187"/>
      <c r="BM156" s="187"/>
      <c r="BN156" s="187"/>
      <c r="BO156" s="187"/>
      <c r="BP156" s="187"/>
      <c r="BQ156" s="187"/>
      <c r="BR156" s="187"/>
    </row>
    <row r="157" spans="1:70" ht="12.75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</row>
    <row r="158" spans="1:70" ht="12.75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</row>
    <row r="159" spans="1:70" ht="12.75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7"/>
      <c r="BG159" s="187"/>
      <c r="BH159" s="187"/>
      <c r="BI159" s="187"/>
      <c r="BJ159" s="187"/>
      <c r="BK159" s="187"/>
      <c r="BL159" s="187"/>
      <c r="BM159" s="187"/>
      <c r="BN159" s="187"/>
      <c r="BO159" s="187"/>
      <c r="BP159" s="187"/>
      <c r="BQ159" s="187"/>
      <c r="BR159" s="187"/>
    </row>
    <row r="160" spans="1:70" ht="12.75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7"/>
      <c r="BR160" s="187"/>
    </row>
    <row r="161" spans="1:70" ht="12.75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187"/>
      <c r="BD161" s="187"/>
      <c r="BE161" s="187"/>
      <c r="BF161" s="187"/>
      <c r="BG161" s="187"/>
      <c r="BH161" s="187"/>
      <c r="BI161" s="187"/>
      <c r="BJ161" s="187"/>
      <c r="BK161" s="187"/>
      <c r="BL161" s="187"/>
      <c r="BM161" s="187"/>
      <c r="BN161" s="187"/>
      <c r="BO161" s="187"/>
      <c r="BP161" s="187"/>
      <c r="BQ161" s="187"/>
      <c r="BR161" s="187"/>
    </row>
    <row r="162" spans="1:70" ht="12.75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187"/>
      <c r="BF162" s="187"/>
      <c r="BG162" s="187"/>
      <c r="BH162" s="187"/>
      <c r="BI162" s="187"/>
      <c r="BJ162" s="187"/>
      <c r="BK162" s="187"/>
      <c r="BL162" s="187"/>
      <c r="BM162" s="187"/>
      <c r="BN162" s="187"/>
      <c r="BO162" s="187"/>
      <c r="BP162" s="187"/>
      <c r="BQ162" s="187"/>
      <c r="BR162" s="187"/>
    </row>
    <row r="163" spans="1:70" ht="12.75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  <c r="BB163" s="187"/>
      <c r="BC163" s="187"/>
      <c r="BD163" s="187"/>
      <c r="BE163" s="187"/>
      <c r="BF163" s="187"/>
      <c r="BG163" s="187"/>
      <c r="BH163" s="187"/>
      <c r="BI163" s="187"/>
      <c r="BJ163" s="187"/>
      <c r="BK163" s="187"/>
      <c r="BL163" s="187"/>
      <c r="BM163" s="187"/>
      <c r="BN163" s="187"/>
      <c r="BO163" s="187"/>
      <c r="BP163" s="187"/>
      <c r="BQ163" s="187"/>
      <c r="BR163" s="187"/>
    </row>
    <row r="164" spans="1:70" ht="12.75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187"/>
      <c r="BF164" s="187"/>
      <c r="BG164" s="187"/>
      <c r="BH164" s="187"/>
      <c r="BI164" s="187"/>
      <c r="BJ164" s="187"/>
      <c r="BK164" s="187"/>
      <c r="BL164" s="187"/>
      <c r="BM164" s="187"/>
      <c r="BN164" s="187"/>
      <c r="BO164" s="187"/>
      <c r="BP164" s="187"/>
      <c r="BQ164" s="187"/>
      <c r="BR164" s="187"/>
    </row>
    <row r="165" spans="1:70" ht="12.75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7"/>
      <c r="BE165" s="187"/>
      <c r="BF165" s="187"/>
      <c r="BG165" s="187"/>
      <c r="BH165" s="187"/>
      <c r="BI165" s="187"/>
      <c r="BJ165" s="187"/>
      <c r="BK165" s="187"/>
      <c r="BL165" s="187"/>
      <c r="BM165" s="187"/>
      <c r="BN165" s="187"/>
      <c r="BO165" s="187"/>
      <c r="BP165" s="187"/>
      <c r="BQ165" s="187"/>
      <c r="BR165" s="187"/>
    </row>
    <row r="166" spans="1:70" ht="12.75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P166" s="187"/>
      <c r="Q166" s="187"/>
      <c r="R166" s="187"/>
      <c r="S166" s="187"/>
      <c r="T166" s="187"/>
      <c r="U166" s="187"/>
      <c r="V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187"/>
      <c r="BF166" s="187"/>
      <c r="BG166" s="187"/>
      <c r="BH166" s="187"/>
      <c r="BI166" s="187"/>
      <c r="BJ166" s="187"/>
      <c r="BK166" s="187"/>
      <c r="BL166" s="187"/>
      <c r="BM166" s="187"/>
      <c r="BN166" s="187"/>
      <c r="BO166" s="187"/>
      <c r="BP166" s="187"/>
      <c r="BQ166" s="187"/>
      <c r="BR166" s="187"/>
    </row>
    <row r="167" spans="1:70" ht="12.75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P167" s="187"/>
      <c r="Q167" s="187"/>
      <c r="R167" s="187"/>
      <c r="S167" s="187"/>
      <c r="T167" s="187"/>
      <c r="V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  <c r="BB167" s="187"/>
      <c r="BC167" s="187"/>
      <c r="BD167" s="187"/>
      <c r="BE167" s="187"/>
      <c r="BF167" s="187"/>
      <c r="BG167" s="187"/>
      <c r="BH167" s="187"/>
      <c r="BI167" s="187"/>
      <c r="BJ167" s="187"/>
      <c r="BK167" s="187"/>
      <c r="BL167" s="187"/>
      <c r="BM167" s="187"/>
      <c r="BN167" s="187"/>
      <c r="BO167" s="187"/>
      <c r="BP167" s="187"/>
      <c r="BQ167" s="187"/>
      <c r="BR167" s="187"/>
    </row>
    <row r="168" spans="1:70" ht="12.75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P168" s="187"/>
      <c r="Q168" s="187"/>
      <c r="R168" s="187"/>
      <c r="S168" s="187"/>
      <c r="T168" s="187"/>
      <c r="V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7"/>
      <c r="BQ168" s="187"/>
      <c r="BR168" s="187"/>
    </row>
    <row r="169" spans="1:70" ht="12.75">
      <c r="A169" s="187"/>
      <c r="B169" s="187"/>
      <c r="C169" s="187"/>
      <c r="D169" s="187"/>
      <c r="E169" s="187"/>
      <c r="F169" s="187"/>
      <c r="G169" s="187"/>
      <c r="H169" s="187"/>
      <c r="I169" s="187"/>
      <c r="V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87"/>
      <c r="BB169" s="187"/>
      <c r="BC169" s="187"/>
      <c r="BD169" s="187"/>
      <c r="BE169" s="187"/>
      <c r="BF169" s="187"/>
      <c r="BG169" s="187"/>
      <c r="BH169" s="187"/>
      <c r="BI169" s="187"/>
      <c r="BJ169" s="187"/>
      <c r="BK169" s="187"/>
      <c r="BL169" s="187"/>
      <c r="BM169" s="187"/>
      <c r="BN169" s="187"/>
      <c r="BO169" s="187"/>
      <c r="BP169" s="187"/>
      <c r="BQ169" s="187"/>
      <c r="BR169" s="187"/>
    </row>
    <row r="170" spans="1:70" ht="12.75">
      <c r="A170" s="187"/>
      <c r="B170" s="187"/>
      <c r="C170" s="187"/>
      <c r="D170" s="187"/>
      <c r="E170" s="187"/>
      <c r="F170" s="187"/>
      <c r="G170" s="187"/>
      <c r="H170" s="187"/>
      <c r="I170" s="187"/>
      <c r="V170" s="187"/>
      <c r="AI170" s="187"/>
      <c r="AJ170" s="187"/>
      <c r="AK170" s="187"/>
      <c r="AL170" s="187"/>
      <c r="AM170" s="187"/>
      <c r="AN170" s="187"/>
      <c r="AO170" s="187"/>
      <c r="AP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7"/>
      <c r="BH170" s="187"/>
      <c r="BI170" s="187"/>
      <c r="BJ170" s="187"/>
      <c r="BK170" s="187"/>
      <c r="BL170" s="187"/>
      <c r="BM170" s="187"/>
      <c r="BN170" s="187"/>
      <c r="BO170" s="187"/>
      <c r="BP170" s="187"/>
      <c r="BQ170" s="187"/>
      <c r="BR170" s="187"/>
    </row>
    <row r="171" spans="1:70" ht="12.75">
      <c r="A171" s="187"/>
      <c r="B171" s="187"/>
      <c r="C171" s="187"/>
      <c r="D171" s="187"/>
      <c r="E171" s="187"/>
      <c r="F171" s="187"/>
      <c r="G171" s="187"/>
      <c r="H171" s="187"/>
      <c r="I171" s="187"/>
      <c r="V171" s="187"/>
      <c r="AI171" s="187"/>
      <c r="AJ171" s="187"/>
      <c r="AK171" s="187"/>
      <c r="AL171" s="187"/>
      <c r="AM171" s="187"/>
      <c r="AN171" s="187"/>
      <c r="AO171" s="187"/>
      <c r="AP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</row>
    <row r="172" spans="51:61" ht="12.75"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</row>
    <row r="184" ht="12.75">
      <c r="H184" s="190"/>
    </row>
    <row r="185" ht="12.75">
      <c r="H185" s="190"/>
    </row>
    <row r="252" ht="12.75">
      <c r="I252" s="191"/>
    </row>
    <row r="268" ht="12.75">
      <c r="V268" s="192"/>
    </row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</sheetData>
  <sheetProtection/>
  <mergeCells count="10">
    <mergeCell ref="C2:G2"/>
    <mergeCell ref="C3:G3"/>
    <mergeCell ref="AY2:BF2"/>
    <mergeCell ref="J2:Q2"/>
    <mergeCell ref="AJ2:AO2"/>
    <mergeCell ref="AY3:BI3"/>
    <mergeCell ref="AQ2:AV2"/>
    <mergeCell ref="AJ3:AO3"/>
    <mergeCell ref="AQ3:AV3"/>
    <mergeCell ref="J3:T3"/>
  </mergeCells>
  <printOptions/>
  <pageMargins left="0.32" right="0.25" top="1.41" bottom="1" header="0.5" footer="0.5"/>
  <pageSetup fitToHeight="1" fitToWidth="1" horizontalDpi="1200" verticalDpi="1200" orientation="portrait" scale="14" r:id="rId1"/>
  <headerFooter alignWithMargins="0">
    <oddHeader>&amp;LUnify Texturisers Pvt. Ltd.&amp;RExisting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0.28125" style="0" customWidth="1"/>
    <col min="2" max="2" width="11.28125" style="0" customWidth="1"/>
    <col min="3" max="3" width="14.140625" style="0" customWidth="1"/>
    <col min="4" max="4" width="12.00390625" style="0" customWidth="1"/>
    <col min="5" max="6" width="12.8515625" style="0" customWidth="1"/>
    <col min="7" max="7" width="12.421875" style="0" customWidth="1"/>
    <col min="8" max="8" width="13.00390625" style="0" customWidth="1"/>
    <col min="9" max="9" width="14.00390625" style="0" customWidth="1"/>
    <col min="10" max="10" width="12.140625" style="0" customWidth="1"/>
    <col min="11" max="11" width="11.140625" style="0" customWidth="1"/>
  </cols>
  <sheetData>
    <row r="1" spans="1:11" ht="15.75" thickBot="1">
      <c r="A1" s="525" t="s">
        <v>572</v>
      </c>
      <c r="B1" s="534" t="s">
        <v>578</v>
      </c>
      <c r="C1" s="525" t="s">
        <v>573</v>
      </c>
      <c r="D1" s="534" t="s">
        <v>574</v>
      </c>
      <c r="E1" s="525" t="s">
        <v>580</v>
      </c>
      <c r="F1" s="527" t="s">
        <v>579</v>
      </c>
      <c r="G1" s="528"/>
      <c r="H1" s="527"/>
      <c r="I1" s="528"/>
      <c r="J1" s="529"/>
      <c r="K1" s="7"/>
    </row>
    <row r="2" spans="1:10" ht="15">
      <c r="A2" s="526"/>
      <c r="B2" s="535"/>
      <c r="C2" s="526"/>
      <c r="D2" s="535"/>
      <c r="E2" s="526">
        <v>39903</v>
      </c>
      <c r="F2" s="26" t="s">
        <v>577</v>
      </c>
      <c r="G2" s="27" t="s">
        <v>570</v>
      </c>
      <c r="H2" s="26" t="s">
        <v>557</v>
      </c>
      <c r="I2" s="27" t="s">
        <v>558</v>
      </c>
      <c r="J2" s="30" t="s">
        <v>560</v>
      </c>
    </row>
    <row r="3" spans="1:10" ht="15">
      <c r="A3" s="21" t="s">
        <v>81</v>
      </c>
      <c r="B3" s="9">
        <v>38596</v>
      </c>
      <c r="C3" s="24">
        <v>0</v>
      </c>
      <c r="D3" s="10">
        <v>0</v>
      </c>
      <c r="E3" s="22">
        <v>0</v>
      </c>
      <c r="F3" s="5">
        <f>$D$3*12</f>
        <v>0</v>
      </c>
      <c r="G3" s="22">
        <f>$D$3*12</f>
        <v>0</v>
      </c>
      <c r="H3" s="5">
        <f>$D$3*12</f>
        <v>0</v>
      </c>
      <c r="I3" s="22">
        <v>0</v>
      </c>
      <c r="J3" s="11">
        <v>0</v>
      </c>
    </row>
    <row r="4" spans="1:10" ht="15">
      <c r="A4" s="21"/>
      <c r="B4" s="12"/>
      <c r="C4" s="24"/>
      <c r="D4" s="10"/>
      <c r="E4" s="22"/>
      <c r="F4" s="5"/>
      <c r="G4" s="22"/>
      <c r="H4" s="5"/>
      <c r="I4" s="22"/>
      <c r="J4" s="13"/>
    </row>
    <row r="5" spans="1:10" ht="15">
      <c r="A5" s="21" t="s">
        <v>121</v>
      </c>
      <c r="B5" s="9">
        <v>38596</v>
      </c>
      <c r="C5" s="24">
        <v>0</v>
      </c>
      <c r="D5" s="10">
        <v>0</v>
      </c>
      <c r="E5" s="22">
        <v>0</v>
      </c>
      <c r="F5" s="5">
        <f>$D$5*12</f>
        <v>0</v>
      </c>
      <c r="G5" s="22">
        <f>$D$5*12</f>
        <v>0</v>
      </c>
      <c r="H5" s="5">
        <f>$D$5*12</f>
        <v>0</v>
      </c>
      <c r="I5" s="22">
        <v>0</v>
      </c>
      <c r="J5" s="13"/>
    </row>
    <row r="6" spans="1:10" ht="15">
      <c r="A6" s="21"/>
      <c r="B6" s="12"/>
      <c r="C6" s="24"/>
      <c r="D6" s="10"/>
      <c r="E6" s="22"/>
      <c r="F6" s="5"/>
      <c r="G6" s="22"/>
      <c r="H6" s="5"/>
      <c r="I6" s="22"/>
      <c r="J6" s="13"/>
    </row>
    <row r="7" spans="1:10" ht="15">
      <c r="A7" s="21" t="s">
        <v>166</v>
      </c>
      <c r="B7" s="9">
        <v>38504</v>
      </c>
      <c r="C7" s="24">
        <v>0</v>
      </c>
      <c r="D7" s="10">
        <v>0</v>
      </c>
      <c r="E7" s="22">
        <v>0</v>
      </c>
      <c r="F7" s="5">
        <f>$D$7*12</f>
        <v>0</v>
      </c>
      <c r="G7" s="22">
        <f>$D$7*12</f>
        <v>0</v>
      </c>
      <c r="H7" s="5">
        <f>$D$7*12</f>
        <v>0</v>
      </c>
      <c r="I7" s="22">
        <v>0</v>
      </c>
      <c r="J7" s="13"/>
    </row>
    <row r="8" spans="1:10" ht="15">
      <c r="A8" s="21"/>
      <c r="B8" s="12"/>
      <c r="C8" s="24"/>
      <c r="D8" s="10"/>
      <c r="E8" s="22"/>
      <c r="F8" s="5"/>
      <c r="G8" s="22"/>
      <c r="H8" s="5"/>
      <c r="I8" s="22"/>
      <c r="J8" s="13"/>
    </row>
    <row r="9" spans="1:10" ht="15">
      <c r="A9" s="21" t="s">
        <v>203</v>
      </c>
      <c r="B9" s="9">
        <v>38504</v>
      </c>
      <c r="C9" s="24">
        <v>0</v>
      </c>
      <c r="D9" s="10">
        <v>0</v>
      </c>
      <c r="E9" s="22">
        <v>0</v>
      </c>
      <c r="F9" s="5">
        <f>$D$9*12</f>
        <v>0</v>
      </c>
      <c r="G9" s="22">
        <f>$D$9*12</f>
        <v>0</v>
      </c>
      <c r="H9" s="5">
        <f>$D$9*12</f>
        <v>0</v>
      </c>
      <c r="I9" s="22">
        <v>0</v>
      </c>
      <c r="J9" s="13"/>
    </row>
    <row r="10" spans="1:10" ht="15">
      <c r="A10" s="21"/>
      <c r="B10" s="12"/>
      <c r="C10" s="24"/>
      <c r="D10" s="10"/>
      <c r="E10" s="22"/>
      <c r="F10" s="5"/>
      <c r="G10" s="22"/>
      <c r="H10" s="5"/>
      <c r="I10" s="22"/>
      <c r="J10" s="13"/>
    </row>
    <row r="11" spans="1:10" ht="15">
      <c r="A11" s="21" t="s">
        <v>575</v>
      </c>
      <c r="B11" s="9">
        <v>39783</v>
      </c>
      <c r="C11" s="24">
        <v>0</v>
      </c>
      <c r="D11" s="10">
        <v>0</v>
      </c>
      <c r="E11" s="22">
        <v>0</v>
      </c>
      <c r="F11" s="14">
        <f>$D$11*12</f>
        <v>0</v>
      </c>
      <c r="G11" s="28">
        <f>$D$11*12</f>
        <v>0</v>
      </c>
      <c r="H11" s="14">
        <f>$D$11*12</f>
        <v>0</v>
      </c>
      <c r="I11" s="28">
        <v>0</v>
      </c>
      <c r="J11" s="13"/>
    </row>
    <row r="12" spans="1:10" ht="15">
      <c r="A12" s="21"/>
      <c r="B12" s="12"/>
      <c r="C12" s="24"/>
      <c r="D12" s="10"/>
      <c r="E12" s="22"/>
      <c r="F12" s="5"/>
      <c r="G12" s="22"/>
      <c r="H12" s="5"/>
      <c r="I12" s="22"/>
      <c r="J12" s="13"/>
    </row>
    <row r="13" spans="1:10" ht="15">
      <c r="A13" s="21" t="s">
        <v>576</v>
      </c>
      <c r="B13" s="9">
        <v>39783</v>
      </c>
      <c r="C13" s="24">
        <v>0</v>
      </c>
      <c r="D13" s="10">
        <v>0</v>
      </c>
      <c r="E13" s="22">
        <v>0</v>
      </c>
      <c r="F13" s="14">
        <f>$D$13*12</f>
        <v>0</v>
      </c>
      <c r="G13" s="28">
        <f>$D$13*12</f>
        <v>0</v>
      </c>
      <c r="H13" s="14">
        <f>$D$13*12</f>
        <v>0</v>
      </c>
      <c r="I13" s="28">
        <f>$D$13*12</f>
        <v>0</v>
      </c>
      <c r="J13" s="15">
        <v>0</v>
      </c>
    </row>
    <row r="14" spans="1:10" ht="15">
      <c r="A14" s="21"/>
      <c r="B14" s="9"/>
      <c r="C14" s="24"/>
      <c r="D14" s="10"/>
      <c r="E14" s="22"/>
      <c r="F14" s="14"/>
      <c r="G14" s="28"/>
      <c r="H14" s="14"/>
      <c r="I14" s="28"/>
      <c r="J14" s="15"/>
    </row>
    <row r="15" spans="1:10" ht="15.75" thickBot="1">
      <c r="A15" s="22"/>
      <c r="B15" s="5"/>
      <c r="C15" s="22"/>
      <c r="D15" s="5"/>
      <c r="E15" s="22"/>
      <c r="F15" s="5"/>
      <c r="G15" s="22"/>
      <c r="H15" s="5"/>
      <c r="I15" s="22"/>
      <c r="J15" s="13"/>
    </row>
    <row r="16" spans="1:10" ht="15.75" thickBot="1">
      <c r="A16" s="22"/>
      <c r="B16" s="5"/>
      <c r="C16" s="532" t="s">
        <v>581</v>
      </c>
      <c r="D16" s="533"/>
      <c r="E16" s="31"/>
      <c r="F16" s="8">
        <f>SUM(F3:F13)</f>
        <v>0</v>
      </c>
      <c r="G16" s="29">
        <f>SUM(G3:G13)</f>
        <v>0</v>
      </c>
      <c r="H16" s="8">
        <f>SUM(H3:H13)</f>
        <v>0</v>
      </c>
      <c r="I16" s="29">
        <f>SUM(I3:I13)</f>
        <v>0</v>
      </c>
      <c r="J16" s="17">
        <f>SUM(J3:J13)</f>
        <v>0</v>
      </c>
    </row>
    <row r="17" spans="1:10" ht="15.75" thickTop="1">
      <c r="A17" s="22"/>
      <c r="B17" s="5"/>
      <c r="C17" s="16"/>
      <c r="D17" s="13"/>
      <c r="E17" s="22"/>
      <c r="F17" s="5"/>
      <c r="G17" s="22"/>
      <c r="H17" s="5"/>
      <c r="I17" s="22"/>
      <c r="J17" s="13"/>
    </row>
    <row r="18" spans="1:10" ht="15.75" thickBot="1">
      <c r="A18" s="23"/>
      <c r="B18" s="18"/>
      <c r="C18" s="530" t="s">
        <v>582</v>
      </c>
      <c r="D18" s="531"/>
      <c r="E18" s="25">
        <f>SUM(E3:E13)</f>
        <v>0</v>
      </c>
      <c r="F18" s="19">
        <f>E18-F16</f>
        <v>0</v>
      </c>
      <c r="G18" s="25">
        <f>F18-G16</f>
        <v>0</v>
      </c>
      <c r="H18" s="19">
        <f>G18-H16</f>
        <v>0</v>
      </c>
      <c r="I18" s="25">
        <f>H18-I16</f>
        <v>0</v>
      </c>
      <c r="J18" s="20">
        <f>I18-J16</f>
        <v>0</v>
      </c>
    </row>
    <row r="21" spans="3:10" ht="12.75">
      <c r="C21" s="7" t="s">
        <v>584</v>
      </c>
      <c r="F21" s="32">
        <f>(E18+F18)/2*11%</f>
        <v>0</v>
      </c>
      <c r="G21" s="32">
        <f>(F18+G18)/2*11%</f>
        <v>0</v>
      </c>
      <c r="H21" s="32">
        <f>(G18+H18)/2*11%</f>
        <v>0</v>
      </c>
      <c r="I21" s="32">
        <f>(H18+I18)/2*11%</f>
        <v>0</v>
      </c>
      <c r="J21" s="32">
        <f>(I18+J18)/2*11%</f>
        <v>0</v>
      </c>
    </row>
    <row r="23" spans="3:10" ht="12.75">
      <c r="C23" s="7" t="s">
        <v>585</v>
      </c>
      <c r="F23" s="33">
        <f>F21/10000000</f>
        <v>0</v>
      </c>
      <c r="G23" s="33">
        <f>G21/10000000</f>
        <v>0</v>
      </c>
      <c r="H23" s="33">
        <f>H21/10000000</f>
        <v>0</v>
      </c>
      <c r="I23" s="33">
        <f>I21/10000000</f>
        <v>0</v>
      </c>
      <c r="J23" s="33">
        <f>J21/10000000</f>
        <v>0</v>
      </c>
    </row>
  </sheetData>
  <sheetProtection/>
  <mergeCells count="8">
    <mergeCell ref="E1:E2"/>
    <mergeCell ref="F1:J1"/>
    <mergeCell ref="C18:D18"/>
    <mergeCell ref="C16:D16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PROJECT REPORT</dc:subject>
  <dc:creator>RAJESH SEWLANI</dc:creator>
  <cp:keywords/>
  <dc:description/>
  <cp:lastModifiedBy>USER</cp:lastModifiedBy>
  <cp:lastPrinted>2010-09-03T08:50:46Z</cp:lastPrinted>
  <dcterms:created xsi:type="dcterms:W3CDTF">2002-01-30T10:10:24Z</dcterms:created>
  <dcterms:modified xsi:type="dcterms:W3CDTF">2021-06-22T09:20:20Z</dcterms:modified>
  <cp:category/>
  <cp:version/>
  <cp:contentType/>
  <cp:contentStatus/>
</cp:coreProperties>
</file>